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I:\Dept\RBNA_ETC\Shared\Resource Center\Conflict Minerals\Customers CY2024 - CY2025\EMRT Request\"/>
    </mc:Choice>
  </mc:AlternateContent>
  <xr:revisionPtr revIDLastSave="0" documentId="8_{40EF57CE-80B5-4381-B97E-E0ADD24458B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Q17" i="4" s="1"/>
  <c r="P14" i="4"/>
  <c r="Q14" i="4" s="1"/>
  <c r="P13" i="4"/>
  <c r="P12" i="4"/>
  <c r="Q12" i="4" s="1"/>
  <c r="R12" i="4" s="1"/>
  <c r="P21" i="4"/>
  <c r="P20" i="4"/>
  <c r="P16" i="4"/>
  <c r="P15" i="4"/>
  <c r="Q16" i="4"/>
  <c r="Q15" i="4"/>
  <c r="Q18" i="4"/>
  <c r="Q19" i="4"/>
  <c r="R19" i="4" s="1"/>
  <c r="Q20" i="4"/>
  <c r="R20" i="4"/>
  <c r="S20" i="4" s="1"/>
  <c r="Q21" i="4"/>
  <c r="R21" i="4"/>
  <c r="S21" i="4"/>
  <c r="T21" i="4" s="1"/>
  <c r="E4" i="8"/>
  <c r="C10"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G17" i="6" s="1"/>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s="1"/>
  <c r="U51" i="4" s="1"/>
  <c r="S50" i="4"/>
  <c r="S49" i="4"/>
  <c r="T49" i="4" s="1"/>
  <c r="S48" i="4"/>
  <c r="S47" i="4"/>
  <c r="T47" i="4" s="1"/>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57" i="5"/>
  <c r="V86" i="5"/>
  <c r="V87" i="5"/>
  <c r="V88" i="5"/>
  <c r="V89" i="5"/>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B343" i="5"/>
  <c r="V343" i="5"/>
  <c r="E343" i="5"/>
  <c r="X343" i="5" s="1"/>
  <c r="B344" i="5"/>
  <c r="V344" i="5"/>
  <c r="E344" i="5"/>
  <c r="X344" i="5" s="1"/>
  <c r="B345" i="5"/>
  <c r="V345" i="5"/>
  <c r="E345" i="5"/>
  <c r="X345" i="5" s="1"/>
  <c r="B346" i="5"/>
  <c r="V346" i="5"/>
  <c r="E346" i="5"/>
  <c r="X346" i="5" s="1"/>
  <c r="V347" i="5"/>
  <c r="E347" i="5"/>
  <c r="X347" i="5" s="1"/>
  <c r="V348" i="5"/>
  <c r="E348" i="5"/>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V401" i="5"/>
  <c r="E401" i="5"/>
  <c r="X401" i="5" s="1"/>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V493" i="5"/>
  <c r="E493" i="5"/>
  <c r="X493" i="5" s="1"/>
  <c r="V494" i="5"/>
  <c r="E494" i="5"/>
  <c r="X494" i="5" s="1"/>
  <c r="V495" i="5"/>
  <c r="E495" i="5"/>
  <c r="X495" i="5" s="1"/>
  <c r="V496" i="5"/>
  <c r="E496" i="5"/>
  <c r="X496" i="5" s="1"/>
  <c r="V497" i="5"/>
  <c r="E497" i="5"/>
  <c r="X497" i="5" s="1"/>
  <c r="V498" i="5"/>
  <c r="E498" i="5"/>
  <c r="X498" i="5" s="1"/>
  <c r="V499" i="5"/>
  <c r="E499" i="5"/>
  <c r="X499" i="5" s="1"/>
  <c r="V500" i="5"/>
  <c r="E500" i="5"/>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77" i="6"/>
  <c r="G76" i="6"/>
  <c r="G75" i="6"/>
  <c r="G74" i="6"/>
  <c r="G73" i="6"/>
  <c r="G72" i="6"/>
  <c r="J74" i="6"/>
  <c r="G66" i="6"/>
  <c r="G65" i="6"/>
  <c r="G64" i="6"/>
  <c r="G63" i="6"/>
  <c r="G62" i="6"/>
  <c r="G61" i="6"/>
  <c r="G55" i="6"/>
  <c r="G54" i="6"/>
  <c r="G53" i="6"/>
  <c r="G52" i="6"/>
  <c r="G51" i="6"/>
  <c r="G50" i="6"/>
  <c r="G44" i="6"/>
  <c r="G43" i="6"/>
  <c r="G42" i="6"/>
  <c r="G41" i="6"/>
  <c r="G40" i="6"/>
  <c r="G33" i="6"/>
  <c r="G32" i="6"/>
  <c r="G31" i="6"/>
  <c r="G30" i="6"/>
  <c r="G29" i="6"/>
  <c r="G28" i="6"/>
  <c r="G9" i="6"/>
  <c r="H9" i="6" s="1"/>
  <c r="C37" i="6"/>
  <c r="C36" i="6"/>
  <c r="C35" i="6"/>
  <c r="C34" i="6"/>
  <c r="I33" i="6"/>
  <c r="J33" i="6"/>
  <c r="I32" i="6"/>
  <c r="J32" i="6"/>
  <c r="I31" i="6"/>
  <c r="J31" i="6"/>
  <c r="I30" i="6"/>
  <c r="J30" i="6"/>
  <c r="I29" i="6"/>
  <c r="J29" i="6"/>
  <c r="B155" i="5"/>
  <c r="B156" i="5"/>
  <c r="B190" i="5"/>
  <c r="B191" i="5"/>
  <c r="B289" i="5"/>
  <c r="B290" i="5"/>
  <c r="B347" i="5"/>
  <c r="B348" i="5"/>
  <c r="B394" i="5"/>
  <c r="B39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T86" i="5"/>
  <c r="T87" i="5"/>
  <c r="T88"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s="1"/>
  <c r="D13" i="6" s="1"/>
  <c r="G5" i="6"/>
  <c r="H5" i="6"/>
  <c r="F6" i="6"/>
  <c r="G6" i="6"/>
  <c r="H6" i="6"/>
  <c r="D6" i="6" s="1"/>
  <c r="G11" i="6"/>
  <c r="H11" i="6" s="1"/>
  <c r="D11" i="6" s="1"/>
  <c r="G12" i="6"/>
  <c r="H12" i="6"/>
  <c r="H14" i="6"/>
  <c r="G15" i="6"/>
  <c r="H15" i="6"/>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86" i="5"/>
  <c r="X87" i="5"/>
  <c r="X88" i="5"/>
  <c r="X89" i="5"/>
  <c r="X100" i="5"/>
  <c r="X124" i="5"/>
  <c r="X140" i="5"/>
  <c r="X216" i="5"/>
  <c r="X256" i="5"/>
  <c r="X315" i="5"/>
  <c r="X342" i="5"/>
  <c r="X348" i="5"/>
  <c r="X380" i="5"/>
  <c r="X400" i="5"/>
  <c r="X408" i="5"/>
  <c r="X436" i="5"/>
  <c r="X452" i="5"/>
  <c r="X492" i="5"/>
  <c r="X500" i="5"/>
  <c r="X504" i="5"/>
  <c r="X536" i="5"/>
  <c r="X556" i="5"/>
  <c r="X560" i="5"/>
  <c r="X580" i="5"/>
  <c r="X600" i="5"/>
  <c r="X744" i="5"/>
  <c r="X752" i="5"/>
  <c r="X828" i="5"/>
  <c r="X848" i="5"/>
  <c r="X1040" i="5"/>
  <c r="X1168" i="5"/>
  <c r="X1212" i="5"/>
  <c r="X1244" i="5"/>
  <c r="X1348" i="5"/>
  <c r="X1432" i="5"/>
  <c r="X1448" i="5"/>
  <c r="X1552" i="5"/>
  <c r="X1568" i="5"/>
  <c r="X1704" i="5"/>
  <c r="X1724" i="5"/>
  <c r="X1740" i="5"/>
  <c r="X1848" i="5"/>
  <c r="X1860" i="5"/>
  <c r="X1892" i="5"/>
  <c r="X1916" i="5"/>
  <c r="X1928" i="5"/>
  <c r="X2012" i="5"/>
  <c r="X2100"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H86"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I176" i="5"/>
  <c r="R1243" i="5"/>
  <c r="I2243" i="5"/>
  <c r="R2094" i="5"/>
  <c r="G2107" i="5"/>
  <c r="R1451" i="5"/>
  <c r="F1879" i="5"/>
  <c r="F429" i="5"/>
  <c r="J1211" i="5"/>
  <c r="G1272" i="5"/>
  <c r="S2439" i="5"/>
  <c r="G2230" i="5"/>
  <c r="I134" i="5"/>
  <c r="H198" i="5"/>
  <c r="H1000"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H731" i="5"/>
  <c r="H182" i="5"/>
  <c r="R342" i="5"/>
  <c r="J912" i="5"/>
  <c r="H1614" i="5"/>
  <c r="R224" i="5"/>
  <c r="R1528" i="5"/>
  <c r="J1592" i="5"/>
  <c r="G342" i="5"/>
  <c r="H1203" i="5"/>
  <c r="J1299" i="5"/>
  <c r="R2192" i="5"/>
  <c r="I2415" i="5"/>
  <c r="I824" i="5"/>
  <c r="H976" i="5"/>
  <c r="R2336" i="5"/>
  <c r="H1245" i="5"/>
  <c r="G1062" i="5"/>
  <c r="H520" i="5"/>
  <c r="R912" i="5"/>
  <c r="I1040" i="5"/>
  <c r="I1614" i="5"/>
  <c r="F96" i="5"/>
  <c r="I336"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H568" i="5"/>
  <c r="F1680" i="5"/>
  <c r="R2421" i="5"/>
  <c r="G1614" i="5"/>
  <c r="I2304" i="5"/>
  <c r="R400" i="5"/>
  <c r="F400" i="5"/>
  <c r="I1476" i="5"/>
  <c r="F106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R88" i="5"/>
  <c r="H88"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I105" i="5"/>
  <c r="R417" i="5"/>
  <c r="G1529" i="5"/>
  <c r="F185" i="5"/>
  <c r="G1681" i="5"/>
  <c r="F929" i="5"/>
  <c r="F697" i="5"/>
  <c r="F1313" i="5"/>
  <c r="I185" i="5"/>
  <c r="I649" i="5"/>
  <c r="J905" i="5"/>
  <c r="J1681" i="5"/>
  <c r="G257" i="5"/>
  <c r="R769" i="5"/>
  <c r="H257" i="5"/>
  <c r="F257" i="5"/>
  <c r="H2056" i="5"/>
  <c r="F2056" i="5"/>
  <c r="H433" i="5"/>
  <c r="H929" i="5"/>
  <c r="F769"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G1281" i="5"/>
  <c r="H2321" i="5"/>
  <c r="G1161" i="5"/>
  <c r="S1947" i="5"/>
  <c r="G2121" i="5"/>
  <c r="S1867" i="5"/>
  <c r="I313" i="5"/>
  <c r="H90"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88" i="5"/>
  <c r="S89" i="5"/>
  <c r="S86" i="5"/>
  <c r="S87" i="5"/>
  <c r="C42" i="5" l="1"/>
  <c r="B78" i="5"/>
  <c r="C34" i="5"/>
  <c r="C15" i="6"/>
  <c r="B65" i="5"/>
  <c r="C21" i="5"/>
  <c r="B42" i="5"/>
  <c r="C85" i="5"/>
  <c r="B34" i="5"/>
  <c r="C77" i="5"/>
  <c r="B22" i="5"/>
  <c r="C62" i="5"/>
  <c r="B13" i="5"/>
  <c r="C54" i="5"/>
  <c r="C13" i="6"/>
  <c r="C12" i="6"/>
  <c r="B82" i="5"/>
  <c r="B62" i="5"/>
  <c r="B41" i="5"/>
  <c r="B17" i="5"/>
  <c r="C82" i="5"/>
  <c r="C61" i="5"/>
  <c r="C38" i="5"/>
  <c r="C17" i="5"/>
  <c r="B81" i="5"/>
  <c r="B58" i="5"/>
  <c r="B38" i="5"/>
  <c r="B16" i="5"/>
  <c r="C78" i="5"/>
  <c r="C58" i="5"/>
  <c r="C37" i="5"/>
  <c r="C13" i="5"/>
  <c r="B74" i="5"/>
  <c r="B54" i="5"/>
  <c r="B33" i="5"/>
  <c r="C74" i="5"/>
  <c r="C53" i="5"/>
  <c r="C30" i="5"/>
  <c r="B73" i="5"/>
  <c r="B50" i="5"/>
  <c r="B30" i="5"/>
  <c r="C70" i="5"/>
  <c r="C50" i="5"/>
  <c r="C29" i="5"/>
  <c r="B70" i="5"/>
  <c r="B49" i="5"/>
  <c r="B26" i="5"/>
  <c r="C69" i="5"/>
  <c r="C46" i="5"/>
  <c r="C26" i="5"/>
  <c r="B66" i="5"/>
  <c r="B46" i="5"/>
  <c r="B25" i="5"/>
  <c r="C66" i="5"/>
  <c r="C45" i="5"/>
  <c r="C22" i="5"/>
  <c r="C11" i="6"/>
  <c r="C10" i="6"/>
  <c r="D9" i="6"/>
  <c r="C9" i="6"/>
  <c r="R15" i="4"/>
  <c r="B80" i="5"/>
  <c r="B72" i="5"/>
  <c r="B64" i="5"/>
  <c r="B56" i="5"/>
  <c r="B48" i="5"/>
  <c r="B40" i="5"/>
  <c r="B32" i="5"/>
  <c r="B24" i="5"/>
  <c r="B15" i="5"/>
  <c r="C84" i="5"/>
  <c r="C76" i="5"/>
  <c r="C68" i="5"/>
  <c r="C60" i="5"/>
  <c r="C52" i="5"/>
  <c r="C44" i="5"/>
  <c r="C36" i="5"/>
  <c r="C28" i="5"/>
  <c r="C20" i="5"/>
  <c r="B79" i="5"/>
  <c r="B71" i="5"/>
  <c r="B63" i="5"/>
  <c r="B55" i="5"/>
  <c r="B47" i="5"/>
  <c r="B39" i="5"/>
  <c r="B31" i="5"/>
  <c r="B23" i="5"/>
  <c r="B14" i="5"/>
  <c r="C83" i="5"/>
  <c r="C75" i="5"/>
  <c r="C67" i="5"/>
  <c r="C59" i="5"/>
  <c r="C51" i="5"/>
  <c r="C43" i="5"/>
  <c r="C35" i="5"/>
  <c r="C27" i="5"/>
  <c r="C19" i="5"/>
  <c r="B85" i="5"/>
  <c r="B77" i="5"/>
  <c r="B69" i="5"/>
  <c r="B61" i="5"/>
  <c r="B53" i="5"/>
  <c r="B45" i="5"/>
  <c r="B37" i="5"/>
  <c r="B29" i="5"/>
  <c r="B21" i="5"/>
  <c r="C81" i="5"/>
  <c r="C73" i="5"/>
  <c r="C65" i="5"/>
  <c r="AB65" i="5" s="1"/>
  <c r="C57" i="5"/>
  <c r="V57" i="5" s="1"/>
  <c r="C49" i="5"/>
  <c r="C41" i="5"/>
  <c r="C33" i="5"/>
  <c r="C25" i="5"/>
  <c r="C16" i="5"/>
  <c r="AB16" i="5" s="1"/>
  <c r="B84" i="5"/>
  <c r="B76" i="5"/>
  <c r="B68" i="5"/>
  <c r="B60" i="5"/>
  <c r="B52" i="5"/>
  <c r="B44" i="5"/>
  <c r="B36" i="5"/>
  <c r="B28" i="5"/>
  <c r="B20" i="5"/>
  <c r="C80" i="5"/>
  <c r="C72" i="5"/>
  <c r="C64" i="5"/>
  <c r="C56" i="5"/>
  <c r="C48" i="5"/>
  <c r="C40" i="5"/>
  <c r="C32" i="5"/>
  <c r="C24" i="5"/>
  <c r="C15" i="5"/>
  <c r="B83" i="5"/>
  <c r="B75" i="5"/>
  <c r="B67" i="5"/>
  <c r="B59" i="5"/>
  <c r="B51" i="5"/>
  <c r="B43" i="5"/>
  <c r="B35" i="5"/>
  <c r="B27" i="5"/>
  <c r="B19" i="5"/>
  <c r="C79" i="5"/>
  <c r="C71" i="5"/>
  <c r="C63" i="5"/>
  <c r="C55" i="5"/>
  <c r="C47" i="5"/>
  <c r="C39" i="5"/>
  <c r="C31" i="5"/>
  <c r="C23" i="5"/>
  <c r="C14" i="5"/>
  <c r="U21" i="4"/>
  <c r="V21" i="4" s="1"/>
  <c r="R18" i="4"/>
  <c r="R17" i="4"/>
  <c r="S18" i="4"/>
  <c r="T20" i="4"/>
  <c r="U20" i="4" s="1"/>
  <c r="S19" i="4"/>
  <c r="T19" i="4" s="1"/>
  <c r="U19" i="4" s="1"/>
  <c r="T50" i="4"/>
  <c r="U49" i="4" s="1"/>
  <c r="V49" i="4" s="1"/>
  <c r="T44" i="4"/>
  <c r="U44" i="4" s="1"/>
  <c r="R16" i="4"/>
  <c r="G89" i="4"/>
  <c r="T42" i="4"/>
  <c r="U42" i="4" s="1"/>
  <c r="T48" i="4"/>
  <c r="U47" i="4" s="1"/>
  <c r="U50" i="4"/>
  <c r="AB34" i="5"/>
  <c r="V50" i="4"/>
  <c r="V51" i="4"/>
  <c r="W51" i="4" s="1"/>
  <c r="V34" i="5"/>
  <c r="E34" i="5" s="1"/>
  <c r="U43" i="4"/>
  <c r="Q13" i="4"/>
  <c r="T46" i="4"/>
  <c r="V74" i="5"/>
  <c r="E74" i="5" s="1"/>
  <c r="H112" i="6"/>
  <c r="C2" i="6"/>
  <c r="B6" i="5"/>
  <c r="B10" i="5"/>
  <c r="AB10" i="5" s="1"/>
  <c r="C6" i="6"/>
  <c r="C5" i="6"/>
  <c r="AB46" i="5"/>
  <c r="B5" i="5"/>
  <c r="B11" i="5"/>
  <c r="C5" i="5"/>
  <c r="C12" i="5"/>
  <c r="C6" i="5"/>
  <c r="B7" i="5"/>
  <c r="C8" i="5"/>
  <c r="B18" i="5"/>
  <c r="B9" i="5"/>
  <c r="D41" i="4"/>
  <c r="D53" i="4"/>
  <c r="D101" i="4"/>
  <c r="G41" i="4"/>
  <c r="G53" i="4"/>
  <c r="G101" i="4"/>
  <c r="C9" i="5"/>
  <c r="D65" i="4"/>
  <c r="C18" i="5"/>
  <c r="B8" i="5"/>
  <c r="B12" i="5"/>
  <c r="G65" i="4"/>
  <c r="D77" i="4"/>
  <c r="D114" i="4"/>
  <c r="G77" i="4"/>
  <c r="C7" i="5"/>
  <c r="C11" i="5"/>
  <c r="V46" i="5" l="1"/>
  <c r="E46" i="5" s="1"/>
  <c r="V63" i="5"/>
  <c r="V48" i="5"/>
  <c r="G48" i="5" s="1"/>
  <c r="AB81" i="5"/>
  <c r="AB33" i="5"/>
  <c r="AB41" i="5"/>
  <c r="AB74" i="5"/>
  <c r="AB29" i="5"/>
  <c r="V62" i="5"/>
  <c r="E62" i="5" s="1"/>
  <c r="AB62" i="5"/>
  <c r="AB66" i="5"/>
  <c r="V70" i="5"/>
  <c r="E70" i="5" s="1"/>
  <c r="X70" i="5" s="1"/>
  <c r="AB77" i="5"/>
  <c r="V60" i="5"/>
  <c r="E60" i="5" s="1"/>
  <c r="V58" i="5"/>
  <c r="J58" i="5" s="1"/>
  <c r="AB54" i="5"/>
  <c r="V66" i="5"/>
  <c r="J66" i="5" s="1"/>
  <c r="V54" i="5"/>
  <c r="J54" i="5" s="1"/>
  <c r="AB73" i="5"/>
  <c r="AB21" i="5"/>
  <c r="AB58" i="5"/>
  <c r="AB57" i="5"/>
  <c r="V14" i="5"/>
  <c r="J14" i="5" s="1"/>
  <c r="AB79" i="5"/>
  <c r="AB64" i="5"/>
  <c r="AB22" i="5"/>
  <c r="V13" i="5"/>
  <c r="F13" i="5" s="1"/>
  <c r="AB17" i="5"/>
  <c r="V16" i="5"/>
  <c r="F16" i="5" s="1"/>
  <c r="V50" i="5"/>
  <c r="J50" i="5" s="1"/>
  <c r="AB72" i="5"/>
  <c r="V26" i="5"/>
  <c r="J26" i="5" s="1"/>
  <c r="V38" i="5"/>
  <c r="J38" i="5" s="1"/>
  <c r="V42" i="5"/>
  <c r="J42" i="5" s="1"/>
  <c r="AB70" i="5"/>
  <c r="V78" i="5"/>
  <c r="J78" i="5" s="1"/>
  <c r="AB26" i="5"/>
  <c r="V43" i="5"/>
  <c r="G43" i="5" s="1"/>
  <c r="AB42" i="5"/>
  <c r="AB13" i="5"/>
  <c r="V17" i="5"/>
  <c r="R17" i="5" s="1"/>
  <c r="V85" i="5"/>
  <c r="F85" i="5" s="1"/>
  <c r="V73" i="5"/>
  <c r="J73" i="5" s="1"/>
  <c r="V22" i="5"/>
  <c r="J22" i="5" s="1"/>
  <c r="V37" i="5"/>
  <c r="R37" i="5" s="1"/>
  <c r="AB69" i="5"/>
  <c r="AB50" i="5"/>
  <c r="AB38" i="5"/>
  <c r="AB45" i="5"/>
  <c r="V30" i="5"/>
  <c r="G30" i="5" s="1"/>
  <c r="AB53" i="5"/>
  <c r="AB82" i="5"/>
  <c r="V25" i="5"/>
  <c r="J25" i="5" s="1"/>
  <c r="V82" i="5"/>
  <c r="J82" i="5" s="1"/>
  <c r="V49" i="5"/>
  <c r="F49" i="5" s="1"/>
  <c r="AB63" i="5"/>
  <c r="AB78" i="5"/>
  <c r="V53" i="5"/>
  <c r="E53" i="5" s="1"/>
  <c r="V29" i="5"/>
  <c r="G29" i="5" s="1"/>
  <c r="V61" i="5"/>
  <c r="J61" i="5" s="1"/>
  <c r="AB30" i="5"/>
  <c r="V47" i="5"/>
  <c r="G47" i="5" s="1"/>
  <c r="V32" i="5"/>
  <c r="J32" i="5" s="1"/>
  <c r="V23" i="5"/>
  <c r="J23" i="5" s="1"/>
  <c r="AB20" i="5"/>
  <c r="V72" i="5"/>
  <c r="E72" i="5" s="1"/>
  <c r="X72" i="5" s="1"/>
  <c r="AB23" i="5"/>
  <c r="AB43" i="5"/>
  <c r="V28" i="5"/>
  <c r="G28" i="5" s="1"/>
  <c r="E50" i="5"/>
  <c r="X50" i="5" s="1"/>
  <c r="AB47" i="5"/>
  <c r="V77" i="5"/>
  <c r="H77" i="5" s="1"/>
  <c r="V59" i="5"/>
  <c r="G59" i="5" s="1"/>
  <c r="V44" i="5"/>
  <c r="E44" i="5" s="1"/>
  <c r="AB51" i="5"/>
  <c r="V36" i="5"/>
  <c r="G36" i="5" s="1"/>
  <c r="V81" i="5"/>
  <c r="F81" i="5" s="1"/>
  <c r="AB37" i="5"/>
  <c r="AB35" i="5"/>
  <c r="V20" i="5"/>
  <c r="I20" i="5" s="1"/>
  <c r="V84" i="5"/>
  <c r="E84" i="5" s="1"/>
  <c r="E48" i="5"/>
  <c r="X48" i="5" s="1"/>
  <c r="J48" i="5"/>
  <c r="V21" i="5"/>
  <c r="F21" i="5" s="1"/>
  <c r="AB25" i="5"/>
  <c r="AB28" i="5"/>
  <c r="AB85" i="5"/>
  <c r="V51" i="5"/>
  <c r="G51" i="5" s="1"/>
  <c r="AB48" i="5"/>
  <c r="V33" i="5"/>
  <c r="H33" i="5" s="1"/>
  <c r="AB59" i="5"/>
  <c r="AB44" i="5"/>
  <c r="AB31" i="5"/>
  <c r="AB15" i="5"/>
  <c r="AB71" i="5"/>
  <c r="V68" i="5"/>
  <c r="E68" i="5" s="1"/>
  <c r="AB39" i="5"/>
  <c r="V24" i="5"/>
  <c r="G24" i="5" s="1"/>
  <c r="AB61" i="5"/>
  <c r="V71" i="5"/>
  <c r="I71" i="5" s="1"/>
  <c r="V56" i="5"/>
  <c r="E56" i="5" s="1"/>
  <c r="X56" i="5" s="1"/>
  <c r="V19" i="5"/>
  <c r="J19" i="5" s="1"/>
  <c r="V83" i="5"/>
  <c r="H83" i="5" s="1"/>
  <c r="AB68" i="5"/>
  <c r="V15" i="5"/>
  <c r="E15" i="5" s="1"/>
  <c r="V75" i="5"/>
  <c r="R75" i="5" s="1"/>
  <c r="AB55" i="5"/>
  <c r="V52" i="5"/>
  <c r="I52" i="5" s="1"/>
  <c r="V40" i="5"/>
  <c r="J40" i="5" s="1"/>
  <c r="V31" i="5"/>
  <c r="H31" i="5" s="1"/>
  <c r="AB27" i="5"/>
  <c r="AB76" i="5"/>
  <c r="V35" i="5"/>
  <c r="G35" i="5" s="1"/>
  <c r="J74" i="5"/>
  <c r="AB75" i="5"/>
  <c r="V69" i="5"/>
  <c r="H69" i="5" s="1"/>
  <c r="V27" i="5"/>
  <c r="J27" i="5" s="1"/>
  <c r="V76" i="5"/>
  <c r="J76" i="5" s="1"/>
  <c r="V39" i="5"/>
  <c r="J39" i="5" s="1"/>
  <c r="V45" i="5"/>
  <c r="E45" i="5" s="1"/>
  <c r="U48" i="4"/>
  <c r="V55" i="5"/>
  <c r="F55" i="5" s="1"/>
  <c r="AB84" i="5"/>
  <c r="AB60" i="5"/>
  <c r="V48" i="4"/>
  <c r="AB49" i="5"/>
  <c r="AB19" i="5"/>
  <c r="AB83" i="5"/>
  <c r="V79" i="5"/>
  <c r="G79" i="5" s="1"/>
  <c r="J46" i="5"/>
  <c r="AB40" i="5"/>
  <c r="V67" i="5"/>
  <c r="G67" i="5" s="1"/>
  <c r="AB52" i="5"/>
  <c r="H57" i="5"/>
  <c r="R57" i="5"/>
  <c r="E57" i="5"/>
  <c r="X57" i="5" s="1"/>
  <c r="J57" i="5"/>
  <c r="F57" i="5"/>
  <c r="I57" i="5"/>
  <c r="G57" i="5"/>
  <c r="AB67" i="5"/>
  <c r="V65" i="5"/>
  <c r="F65" i="5" s="1"/>
  <c r="AB80" i="5"/>
  <c r="AB56" i="5"/>
  <c r="AB14" i="5"/>
  <c r="V64" i="5"/>
  <c r="V41" i="5"/>
  <c r="H41" i="5" s="1"/>
  <c r="V80" i="5"/>
  <c r="AB36" i="5"/>
  <c r="AB24" i="5"/>
  <c r="AB32" i="5"/>
  <c r="V19" i="4"/>
  <c r="W19" i="4" s="1"/>
  <c r="V20" i="4"/>
  <c r="W20" i="4" s="1"/>
  <c r="X20" i="4" s="1"/>
  <c r="J34" i="5"/>
  <c r="W21" i="4"/>
  <c r="X21" i="4" s="1"/>
  <c r="Y21" i="4" s="1"/>
  <c r="Z21" i="4" s="1"/>
  <c r="J62" i="5"/>
  <c r="AB12" i="5"/>
  <c r="S16" i="4"/>
  <c r="S17" i="4"/>
  <c r="G14" i="5"/>
  <c r="V10" i="5"/>
  <c r="G10" i="5" s="1"/>
  <c r="E13" i="5"/>
  <c r="G13" i="5"/>
  <c r="W48" i="4"/>
  <c r="R62" i="5"/>
  <c r="H62" i="5"/>
  <c r="F62" i="5"/>
  <c r="G62" i="5"/>
  <c r="I62" i="5"/>
  <c r="R48" i="5"/>
  <c r="F48" i="5"/>
  <c r="H48" i="5"/>
  <c r="I48" i="5"/>
  <c r="G34" i="5"/>
  <c r="I34" i="5"/>
  <c r="H34" i="5"/>
  <c r="F34" i="5"/>
  <c r="R34" i="5"/>
  <c r="W50" i="4"/>
  <c r="X50" i="4" s="1"/>
  <c r="W49" i="4"/>
  <c r="F74" i="5"/>
  <c r="G74" i="5"/>
  <c r="I74" i="5"/>
  <c r="R74" i="5"/>
  <c r="H74" i="5"/>
  <c r="V8" i="5"/>
  <c r="G8" i="5" s="1"/>
  <c r="AB6" i="5"/>
  <c r="AB5" i="5"/>
  <c r="U45" i="4"/>
  <c r="U46" i="4"/>
  <c r="V46" i="4" s="1"/>
  <c r="V43" i="4"/>
  <c r="V42" i="4"/>
  <c r="W42" i="4" s="1"/>
  <c r="R58" i="5"/>
  <c r="R13" i="4"/>
  <c r="R14" i="4"/>
  <c r="F26" i="5"/>
  <c r="X51" i="4"/>
  <c r="Y51" i="4" s="1"/>
  <c r="V47" i="4"/>
  <c r="W47" i="4" s="1"/>
  <c r="D112" i="6"/>
  <c r="C112" i="6"/>
  <c r="V5" i="5"/>
  <c r="V6" i="5"/>
  <c r="G6" i="5" s="1"/>
  <c r="V12" i="5"/>
  <c r="G12" i="5" s="1"/>
  <c r="F46" i="5"/>
  <c r="R46" i="5"/>
  <c r="H46" i="5"/>
  <c r="I46" i="5"/>
  <c r="G46" i="5"/>
  <c r="G49" i="5"/>
  <c r="AB7" i="5"/>
  <c r="V7" i="5"/>
  <c r="G7" i="5" s="1"/>
  <c r="E63" i="5"/>
  <c r="F63" i="5"/>
  <c r="J63" i="5"/>
  <c r="R63" i="5"/>
  <c r="H63" i="5"/>
  <c r="I63" i="5"/>
  <c r="G63" i="5"/>
  <c r="F124" i="6"/>
  <c r="AB9" i="5"/>
  <c r="V9" i="5"/>
  <c r="G9" i="5" s="1"/>
  <c r="X74" i="5"/>
  <c r="AB8" i="5"/>
  <c r="X62" i="5"/>
  <c r="X46" i="5"/>
  <c r="X34" i="5"/>
  <c r="AB11" i="5"/>
  <c r="V11" i="5"/>
  <c r="G11" i="5" s="1"/>
  <c r="V18" i="5"/>
  <c r="G18" i="5" s="1"/>
  <c r="AB18" i="5"/>
  <c r="S57" i="5"/>
  <c r="T57" i="5"/>
  <c r="S68" i="5"/>
  <c r="S44" i="5"/>
  <c r="S60" i="5"/>
  <c r="S45" i="5"/>
  <c r="S13" i="5"/>
  <c r="S53" i="5"/>
  <c r="S84" i="5"/>
  <c r="S72" i="5"/>
  <c r="S50" i="5"/>
  <c r="S74" i="5"/>
  <c r="S46" i="5"/>
  <c r="S48" i="5"/>
  <c r="S56" i="5"/>
  <c r="S70" i="5"/>
  <c r="S62" i="5"/>
  <c r="S34" i="5"/>
  <c r="G32" i="5" l="1"/>
  <c r="E58" i="5"/>
  <c r="I49" i="5"/>
  <c r="R49" i="5"/>
  <c r="G58" i="5"/>
  <c r="F78" i="5"/>
  <c r="H78" i="5"/>
  <c r="G78" i="5"/>
  <c r="E22" i="5"/>
  <c r="J70" i="5"/>
  <c r="I70" i="5"/>
  <c r="R70" i="5"/>
  <c r="H70" i="5"/>
  <c r="G70" i="5"/>
  <c r="R61" i="5"/>
  <c r="I78" i="5"/>
  <c r="F70" i="5"/>
  <c r="F22" i="5"/>
  <c r="I50" i="5"/>
  <c r="H60" i="5"/>
  <c r="R43" i="5"/>
  <c r="J43" i="5"/>
  <c r="R47" i="5"/>
  <c r="H50" i="5"/>
  <c r="R56" i="5"/>
  <c r="F60" i="5"/>
  <c r="F47" i="5"/>
  <c r="E43" i="5"/>
  <c r="H82" i="5"/>
  <c r="R60" i="5"/>
  <c r="J60" i="5"/>
  <c r="I82" i="5"/>
  <c r="I60" i="5"/>
  <c r="R50" i="5"/>
  <c r="H47" i="5"/>
  <c r="G60" i="5"/>
  <c r="E82" i="5"/>
  <c r="F82" i="5"/>
  <c r="I47" i="5"/>
  <c r="F43" i="5"/>
  <c r="J47" i="5"/>
  <c r="I43" i="5"/>
  <c r="F61" i="5"/>
  <c r="G50" i="5"/>
  <c r="R82" i="5"/>
  <c r="H56" i="5"/>
  <c r="H43" i="5"/>
  <c r="G56" i="5"/>
  <c r="E47" i="5"/>
  <c r="X47" i="5" s="1"/>
  <c r="F50" i="5"/>
  <c r="I56" i="5"/>
  <c r="F52" i="5"/>
  <c r="R16" i="5"/>
  <c r="J37" i="5"/>
  <c r="H52" i="5"/>
  <c r="E49" i="5"/>
  <c r="X49" i="5" s="1"/>
  <c r="E19" i="5"/>
  <c r="X19" i="5" s="1"/>
  <c r="H58" i="5"/>
  <c r="F14" i="5"/>
  <c r="J52" i="5"/>
  <c r="R32" i="5"/>
  <c r="I58" i="5"/>
  <c r="R14" i="5"/>
  <c r="I14" i="5"/>
  <c r="R52" i="5"/>
  <c r="F32" i="5"/>
  <c r="J49" i="5"/>
  <c r="F84" i="5"/>
  <c r="H38" i="5"/>
  <c r="H49" i="5"/>
  <c r="I32" i="5"/>
  <c r="F58" i="5"/>
  <c r="R38" i="5"/>
  <c r="E14" i="5"/>
  <c r="G84" i="5"/>
  <c r="I23" i="5"/>
  <c r="E38" i="5"/>
  <c r="I17" i="5"/>
  <c r="H23" i="5"/>
  <c r="F17" i="5"/>
  <c r="E17" i="5"/>
  <c r="G66" i="5"/>
  <c r="R66" i="5"/>
  <c r="E66" i="5"/>
  <c r="G23" i="5"/>
  <c r="G83" i="5"/>
  <c r="R20" i="5"/>
  <c r="J20" i="5"/>
  <c r="F38" i="5"/>
  <c r="H66" i="5"/>
  <c r="H59" i="5"/>
  <c r="F66" i="5"/>
  <c r="I38" i="5"/>
  <c r="I66" i="5"/>
  <c r="G38" i="5"/>
  <c r="G22" i="5"/>
  <c r="E85" i="5"/>
  <c r="X85" i="5" s="1"/>
  <c r="I54" i="5"/>
  <c r="I42" i="5"/>
  <c r="R54" i="5"/>
  <c r="F42" i="5"/>
  <c r="F56" i="5"/>
  <c r="E25" i="5"/>
  <c r="X25" i="5" s="1"/>
  <c r="I73" i="5"/>
  <c r="I85" i="5"/>
  <c r="H30" i="5"/>
  <c r="E73" i="5"/>
  <c r="X73" i="5" s="1"/>
  <c r="H85" i="5"/>
  <c r="G42" i="5"/>
  <c r="R30" i="5"/>
  <c r="I13" i="5"/>
  <c r="H73" i="5"/>
  <c r="R53" i="5"/>
  <c r="F54" i="5"/>
  <c r="E54" i="5"/>
  <c r="G73" i="5"/>
  <c r="F33" i="5"/>
  <c r="J85" i="5"/>
  <c r="R13" i="5"/>
  <c r="G54" i="5"/>
  <c r="F72" i="5"/>
  <c r="F73" i="5"/>
  <c r="R85" i="5"/>
  <c r="J13" i="5"/>
  <c r="H54" i="5"/>
  <c r="R73" i="5"/>
  <c r="I33" i="5"/>
  <c r="G85" i="5"/>
  <c r="H42" i="5"/>
  <c r="H13" i="5"/>
  <c r="E30" i="5"/>
  <c r="R42" i="5"/>
  <c r="I61" i="5"/>
  <c r="R72" i="5"/>
  <c r="R78" i="5"/>
  <c r="G61" i="5"/>
  <c r="R22" i="5"/>
  <c r="F36" i="5"/>
  <c r="I36" i="5"/>
  <c r="H22" i="5"/>
  <c r="R36" i="5"/>
  <c r="E61" i="5"/>
  <c r="X61" i="5" s="1"/>
  <c r="F75" i="5"/>
  <c r="I22" i="5"/>
  <c r="E36" i="5"/>
  <c r="X36" i="5" s="1"/>
  <c r="E52" i="5"/>
  <c r="X52" i="5" s="1"/>
  <c r="I75" i="5"/>
  <c r="H61" i="5"/>
  <c r="H53" i="5"/>
  <c r="E78" i="5"/>
  <c r="H75" i="5"/>
  <c r="G52" i="5"/>
  <c r="E16" i="5"/>
  <c r="F53" i="5"/>
  <c r="G37" i="5"/>
  <c r="I28" i="5"/>
  <c r="J16" i="5"/>
  <c r="E37" i="5"/>
  <c r="X37" i="5" s="1"/>
  <c r="G81" i="5"/>
  <c r="I16" i="5"/>
  <c r="G72" i="5"/>
  <c r="R25" i="5"/>
  <c r="H16" i="5"/>
  <c r="I53" i="5"/>
  <c r="R28" i="5"/>
  <c r="I72" i="5"/>
  <c r="G25" i="5"/>
  <c r="G16" i="5"/>
  <c r="I30" i="5"/>
  <c r="J53" i="5"/>
  <c r="H72" i="5"/>
  <c r="E75" i="5"/>
  <c r="X75" i="5" s="1"/>
  <c r="H25" i="5"/>
  <c r="G82" i="5"/>
  <c r="F30" i="5"/>
  <c r="G53" i="5"/>
  <c r="F37" i="5"/>
  <c r="I25" i="5"/>
  <c r="I37" i="5"/>
  <c r="J31" i="5"/>
  <c r="R23" i="5"/>
  <c r="F23" i="5"/>
  <c r="G75" i="5"/>
  <c r="H32" i="5"/>
  <c r="H14" i="5"/>
  <c r="J36" i="5"/>
  <c r="E20" i="5"/>
  <c r="X20" i="5" s="1"/>
  <c r="E23" i="5"/>
  <c r="X23" i="5" s="1"/>
  <c r="R26" i="5"/>
  <c r="E32" i="5"/>
  <c r="H26" i="5"/>
  <c r="J77" i="5"/>
  <c r="F83" i="5"/>
  <c r="I26" i="5"/>
  <c r="G77" i="5"/>
  <c r="E26" i="5"/>
  <c r="G26" i="5"/>
  <c r="J81" i="5"/>
  <c r="F79" i="5"/>
  <c r="E79" i="5"/>
  <c r="X79" i="5" s="1"/>
  <c r="E71" i="5"/>
  <c r="X71" i="5" s="1"/>
  <c r="R81" i="5"/>
  <c r="F25" i="5"/>
  <c r="J28" i="5"/>
  <c r="I81" i="5"/>
  <c r="H37" i="5"/>
  <c r="F28" i="5"/>
  <c r="H81" i="5"/>
  <c r="H28" i="5"/>
  <c r="J44" i="5"/>
  <c r="J72" i="5"/>
  <c r="F44" i="5"/>
  <c r="H44" i="5"/>
  <c r="J30" i="5"/>
  <c r="J21" i="5"/>
  <c r="H21" i="5"/>
  <c r="J55" i="5"/>
  <c r="E81" i="5"/>
  <c r="R21" i="5"/>
  <c r="G44" i="5"/>
  <c r="E28" i="5"/>
  <c r="X28" i="5" s="1"/>
  <c r="H55" i="5"/>
  <c r="H71" i="5"/>
  <c r="G21" i="5"/>
  <c r="I44" i="5"/>
  <c r="J71" i="5"/>
  <c r="E42" i="5"/>
  <c r="G55" i="5"/>
  <c r="I55" i="5"/>
  <c r="R44" i="5"/>
  <c r="E55" i="5"/>
  <c r="X55" i="5" s="1"/>
  <c r="R71" i="5"/>
  <c r="J75" i="5"/>
  <c r="H36" i="5"/>
  <c r="F71" i="5"/>
  <c r="G71" i="5"/>
  <c r="R84" i="5"/>
  <c r="I21" i="5"/>
  <c r="H17" i="5"/>
  <c r="R55" i="5"/>
  <c r="E21" i="5"/>
  <c r="X21" i="5" s="1"/>
  <c r="G17" i="5"/>
  <c r="F51" i="5"/>
  <c r="J17" i="5"/>
  <c r="I77" i="5"/>
  <c r="F77" i="5"/>
  <c r="H20" i="5"/>
  <c r="R77" i="5"/>
  <c r="F20" i="5"/>
  <c r="G20" i="5"/>
  <c r="E77" i="5"/>
  <c r="R31" i="5"/>
  <c r="R83" i="5"/>
  <c r="H45" i="5"/>
  <c r="I15" i="5"/>
  <c r="R15" i="5"/>
  <c r="R33" i="5"/>
  <c r="F24" i="5"/>
  <c r="I45" i="5"/>
  <c r="E29" i="5"/>
  <c r="X29" i="5" s="1"/>
  <c r="H67" i="5"/>
  <c r="E33" i="5"/>
  <c r="X33" i="5" s="1"/>
  <c r="G45" i="5"/>
  <c r="J29" i="5"/>
  <c r="J45" i="5"/>
  <c r="R29" i="5"/>
  <c r="J67" i="5"/>
  <c r="T67" i="5" s="1"/>
  <c r="E67" i="5"/>
  <c r="X67" i="5" s="1"/>
  <c r="G33" i="5"/>
  <c r="F45" i="5"/>
  <c r="F29" i="5"/>
  <c r="J33" i="5"/>
  <c r="H24" i="5"/>
  <c r="I29" i="5"/>
  <c r="I24" i="5"/>
  <c r="H29" i="5"/>
  <c r="R24" i="5"/>
  <c r="J24" i="5"/>
  <c r="F39" i="5"/>
  <c r="H40" i="5"/>
  <c r="I19" i="5"/>
  <c r="I40" i="5"/>
  <c r="R40" i="5"/>
  <c r="R19" i="5"/>
  <c r="H19" i="5"/>
  <c r="G40" i="5"/>
  <c r="F40" i="5"/>
  <c r="G19" i="5"/>
  <c r="E40" i="5"/>
  <c r="F19" i="5"/>
  <c r="E59" i="5"/>
  <c r="X59" i="5" s="1"/>
  <c r="E51" i="5"/>
  <c r="X51" i="5" s="1"/>
  <c r="H84" i="5"/>
  <c r="E27" i="5"/>
  <c r="X27" i="5" s="1"/>
  <c r="I68" i="5"/>
  <c r="I84" i="5"/>
  <c r="I51" i="5"/>
  <c r="R59" i="5"/>
  <c r="J84" i="5"/>
  <c r="I59" i="5"/>
  <c r="R51" i="5"/>
  <c r="G68" i="5"/>
  <c r="J68" i="5"/>
  <c r="F59" i="5"/>
  <c r="H51" i="5"/>
  <c r="H68" i="5"/>
  <c r="J59" i="5"/>
  <c r="I27" i="5"/>
  <c r="J51" i="5"/>
  <c r="R68" i="5"/>
  <c r="G27" i="5"/>
  <c r="R27" i="5"/>
  <c r="F68" i="5"/>
  <c r="F31" i="5"/>
  <c r="E83" i="5"/>
  <c r="X83" i="5" s="1"/>
  <c r="E24" i="5"/>
  <c r="J83" i="5"/>
  <c r="G31" i="5"/>
  <c r="I31" i="5"/>
  <c r="E31" i="5"/>
  <c r="X31" i="5" s="1"/>
  <c r="I83" i="5"/>
  <c r="R45" i="5"/>
  <c r="F10" i="5"/>
  <c r="R10" i="5"/>
  <c r="F27" i="5"/>
  <c r="J56" i="5"/>
  <c r="I67" i="5"/>
  <c r="H27" i="5"/>
  <c r="F67" i="5"/>
  <c r="R67" i="5"/>
  <c r="H15" i="5"/>
  <c r="J15" i="5"/>
  <c r="F35" i="5"/>
  <c r="G76" i="5"/>
  <c r="F15" i="5"/>
  <c r="H35" i="5"/>
  <c r="G15" i="5"/>
  <c r="I35" i="5"/>
  <c r="R35" i="5"/>
  <c r="J35" i="5"/>
  <c r="E35" i="5"/>
  <c r="X35" i="5" s="1"/>
  <c r="J69" i="5"/>
  <c r="F76" i="5"/>
  <c r="R69" i="5"/>
  <c r="H76" i="5"/>
  <c r="G39" i="5"/>
  <c r="J8" i="5"/>
  <c r="G69" i="5"/>
  <c r="E39" i="5"/>
  <c r="X39" i="5" s="1"/>
  <c r="E8" i="5"/>
  <c r="X8" i="5" s="1"/>
  <c r="F69" i="5"/>
  <c r="H39" i="5"/>
  <c r="E69" i="5"/>
  <c r="X69" i="5" s="1"/>
  <c r="I76" i="5"/>
  <c r="I39" i="5"/>
  <c r="I69" i="5"/>
  <c r="R76" i="5"/>
  <c r="R39" i="5"/>
  <c r="E76" i="5"/>
  <c r="X76" i="5" s="1"/>
  <c r="J41" i="5"/>
  <c r="I79" i="5"/>
  <c r="R41" i="5"/>
  <c r="H79" i="5"/>
  <c r="J79" i="5"/>
  <c r="R8" i="5"/>
  <c r="R79" i="5"/>
  <c r="G41" i="5"/>
  <c r="F80" i="5"/>
  <c r="R80" i="5"/>
  <c r="H80" i="5"/>
  <c r="I80" i="5"/>
  <c r="E80" i="5"/>
  <c r="J80" i="5"/>
  <c r="G80" i="5"/>
  <c r="F8" i="5"/>
  <c r="F41" i="5"/>
  <c r="E65" i="5"/>
  <c r="R65" i="5"/>
  <c r="J65" i="5"/>
  <c r="I65" i="5"/>
  <c r="H65" i="5"/>
  <c r="I41" i="5"/>
  <c r="Y20" i="4"/>
  <c r="Z20" i="4" s="1"/>
  <c r="F64" i="5"/>
  <c r="I64" i="5"/>
  <c r="R64" i="5"/>
  <c r="H64" i="5"/>
  <c r="J64" i="5"/>
  <c r="E64" i="5"/>
  <c r="E41" i="5"/>
  <c r="G64" i="5"/>
  <c r="H8" i="5"/>
  <c r="G65" i="5"/>
  <c r="I8" i="5"/>
  <c r="E6" i="5"/>
  <c r="X6" i="5" s="1"/>
  <c r="E12" i="5"/>
  <c r="X19" i="4"/>
  <c r="Y19" i="4" s="1"/>
  <c r="J10" i="5"/>
  <c r="X60" i="5"/>
  <c r="E10" i="5"/>
  <c r="X10" i="5" s="1"/>
  <c r="X44" i="5"/>
  <c r="H10" i="5"/>
  <c r="T17" i="4"/>
  <c r="T18" i="4"/>
  <c r="U18" i="4" s="1"/>
  <c r="V18" i="4" s="1"/>
  <c r="W18" i="4" s="1"/>
  <c r="X18" i="4" s="1"/>
  <c r="Y18" i="4" s="1"/>
  <c r="Z18" i="4" s="1"/>
  <c r="I10" i="5"/>
  <c r="X68" i="5"/>
  <c r="X53" i="5"/>
  <c r="F6" i="5"/>
  <c r="X13" i="5"/>
  <c r="X45" i="5"/>
  <c r="X17" i="5"/>
  <c r="X47" i="4"/>
  <c r="I6" i="5"/>
  <c r="S14" i="4"/>
  <c r="S15" i="4"/>
  <c r="V45" i="4"/>
  <c r="W45" i="4" s="1"/>
  <c r="V44" i="4"/>
  <c r="X48" i="4"/>
  <c r="X49" i="4"/>
  <c r="Y49" i="4" s="1"/>
  <c r="R6" i="5"/>
  <c r="S12" i="4"/>
  <c r="T12" i="4" s="1"/>
  <c r="S13" i="4"/>
  <c r="W46" i="4"/>
  <c r="X46" i="4" s="1"/>
  <c r="J6" i="5"/>
  <c r="Z51" i="4"/>
  <c r="AA51" i="4" s="1"/>
  <c r="Y50" i="4"/>
  <c r="Z50" i="4" s="1"/>
  <c r="H6" i="5"/>
  <c r="H12" i="5"/>
  <c r="I12" i="5"/>
  <c r="X84" i="5"/>
  <c r="I5" i="5"/>
  <c r="H5" i="5"/>
  <c r="F5" i="5"/>
  <c r="J5" i="5"/>
  <c r="R5" i="5"/>
  <c r="E5" i="5"/>
  <c r="J12" i="5"/>
  <c r="R12" i="5"/>
  <c r="F12" i="5"/>
  <c r="X43" i="5"/>
  <c r="G5" i="5"/>
  <c r="X63" i="5"/>
  <c r="J18" i="5"/>
  <c r="E18" i="5"/>
  <c r="F18" i="5"/>
  <c r="R18" i="5"/>
  <c r="I18" i="5"/>
  <c r="H18" i="5"/>
  <c r="I9" i="5"/>
  <c r="H9" i="5"/>
  <c r="E9" i="5"/>
  <c r="F9" i="5"/>
  <c r="J9" i="5"/>
  <c r="R9" i="5"/>
  <c r="J7" i="5"/>
  <c r="R7" i="5"/>
  <c r="I7" i="5"/>
  <c r="H7" i="5"/>
  <c r="E7" i="5"/>
  <c r="F7" i="5"/>
  <c r="X15" i="5"/>
  <c r="J11" i="5"/>
  <c r="R11" i="5"/>
  <c r="I11" i="5"/>
  <c r="H11" i="5"/>
  <c r="E11" i="5"/>
  <c r="F11" i="5"/>
  <c r="S58" i="5"/>
  <c r="S22" i="5"/>
  <c r="T60" i="5"/>
  <c r="S43" i="5"/>
  <c r="T43" i="5" s="1"/>
  <c r="S82" i="5"/>
  <c r="S49" i="5"/>
  <c r="S19" i="5"/>
  <c r="T19" i="5" s="1"/>
  <c r="T49" i="5"/>
  <c r="S66" i="5"/>
  <c r="S38" i="5"/>
  <c r="S17" i="5"/>
  <c r="S14" i="5"/>
  <c r="T14" i="5" s="1"/>
  <c r="S85" i="5"/>
  <c r="S25" i="5"/>
  <c r="T25" i="5" s="1"/>
  <c r="S73" i="5"/>
  <c r="T73" i="5" s="1"/>
  <c r="S54" i="5"/>
  <c r="S30" i="5"/>
  <c r="T13" i="5"/>
  <c r="T85" i="5"/>
  <c r="S61" i="5"/>
  <c r="T61" i="5" s="1"/>
  <c r="S78" i="5"/>
  <c r="S36" i="5"/>
  <c r="S52" i="5"/>
  <c r="T52" i="5" s="1"/>
  <c r="T53" i="5"/>
  <c r="S16" i="5"/>
  <c r="T16" i="5" s="1"/>
  <c r="S75" i="5"/>
  <c r="S37" i="5"/>
  <c r="T37" i="5" s="1"/>
  <c r="S26" i="5"/>
  <c r="S32" i="5"/>
  <c r="T36" i="5"/>
  <c r="S20" i="5"/>
  <c r="T20" i="5" s="1"/>
  <c r="T44" i="5"/>
  <c r="S81" i="5"/>
  <c r="T81" i="5" s="1"/>
  <c r="S28" i="5"/>
  <c r="T28" i="5" s="1"/>
  <c r="S42" i="5"/>
  <c r="T75" i="5"/>
  <c r="T17" i="5"/>
  <c r="S21" i="5"/>
  <c r="T21" i="5" s="1"/>
  <c r="S77" i="5"/>
  <c r="T77" i="5" s="1"/>
  <c r="T45" i="5"/>
  <c r="S29" i="5"/>
  <c r="T29" i="5" s="1"/>
  <c r="S67" i="5"/>
  <c r="S33" i="5"/>
  <c r="T33" i="5" s="1"/>
  <c r="S40" i="5"/>
  <c r="S59" i="5"/>
  <c r="T84" i="5"/>
  <c r="T59" i="5"/>
  <c r="S51" i="5"/>
  <c r="T51" i="5" s="1"/>
  <c r="S27" i="5"/>
  <c r="T27" i="5" s="1"/>
  <c r="T68" i="5"/>
  <c r="S83" i="5"/>
  <c r="T83" i="5" s="1"/>
  <c r="S24" i="5"/>
  <c r="S35" i="5"/>
  <c r="T35" i="5" s="1"/>
  <c r="S76" i="5"/>
  <c r="T76" i="5" s="1"/>
  <c r="S69" i="5"/>
  <c r="T69" i="5" s="1"/>
  <c r="S65" i="5"/>
  <c r="T65" i="5"/>
  <c r="S80" i="5"/>
  <c r="S64" i="5"/>
  <c r="S41" i="5"/>
  <c r="T41" i="5" s="1"/>
  <c r="S12" i="5"/>
  <c r="S5" i="5"/>
  <c r="T40" i="5"/>
  <c r="T56" i="5"/>
  <c r="T46" i="5"/>
  <c r="T78" i="5"/>
  <c r="S63" i="5"/>
  <c r="S8" i="5"/>
  <c r="S6" i="5"/>
  <c r="T74" i="5"/>
  <c r="S71" i="5"/>
  <c r="S10" i="5"/>
  <c r="T50" i="5"/>
  <c r="S23" i="5"/>
  <c r="S39" i="5"/>
  <c r="T72" i="5"/>
  <c r="T12" i="5"/>
  <c r="S55" i="5"/>
  <c r="S15" i="5"/>
  <c r="S47" i="5"/>
  <c r="T38" i="5"/>
  <c r="T42" i="5"/>
  <c r="T34" i="5"/>
  <c r="T54" i="5"/>
  <c r="T62" i="5"/>
  <c r="T80" i="5"/>
  <c r="T64" i="5"/>
  <c r="T32" i="5"/>
  <c r="T22" i="5"/>
  <c r="T24" i="5"/>
  <c r="T26" i="5"/>
  <c r="T66" i="5"/>
  <c r="T70" i="5"/>
  <c r="T48" i="5"/>
  <c r="T58" i="5"/>
  <c r="S31" i="5"/>
  <c r="S79" i="5"/>
  <c r="T5" i="5"/>
  <c r="T30" i="5"/>
  <c r="T82" i="5"/>
  <c r="X58" i="5" l="1"/>
  <c r="X22" i="5"/>
  <c r="X82" i="5"/>
  <c r="X14" i="5"/>
  <c r="X38" i="5"/>
  <c r="X66" i="5"/>
  <c r="X30" i="5"/>
  <c r="X54" i="5"/>
  <c r="X78" i="5"/>
  <c r="X16" i="5"/>
  <c r="X32" i="5"/>
  <c r="X26" i="5"/>
  <c r="X81" i="5"/>
  <c r="X42" i="5"/>
  <c r="X77" i="5"/>
  <c r="X40" i="5"/>
  <c r="X24" i="5"/>
  <c r="Z19" i="4"/>
  <c r="X64" i="5"/>
  <c r="X80" i="5"/>
  <c r="X65" i="5"/>
  <c r="X41" i="5"/>
  <c r="X12" i="5"/>
  <c r="Y46" i="4"/>
  <c r="AA50" i="4"/>
  <c r="AB50" i="4" s="1"/>
  <c r="Z49" i="4"/>
  <c r="AA49" i="4" s="1"/>
  <c r="T15" i="4"/>
  <c r="T16" i="4"/>
  <c r="T13" i="4"/>
  <c r="T14" i="4"/>
  <c r="AB51" i="4"/>
  <c r="AC51" i="4" s="1"/>
  <c r="Y48" i="4"/>
  <c r="Z48" i="4" s="1"/>
  <c r="Y47" i="4"/>
  <c r="X45" i="4"/>
  <c r="Y45" i="4" s="1"/>
  <c r="W44" i="4"/>
  <c r="X44" i="4" s="1"/>
  <c r="W43" i="4"/>
  <c r="X5" i="5"/>
  <c r="X18" i="5"/>
  <c r="X9" i="5"/>
  <c r="X7" i="5"/>
  <c r="G124" i="6" a="1"/>
  <c r="G124" i="6" s="1"/>
  <c r="X11" i="5"/>
  <c r="T79" i="5"/>
  <c r="T71" i="5"/>
  <c r="T6" i="5"/>
  <c r="S18" i="5"/>
  <c r="T8" i="5"/>
  <c r="S9" i="5"/>
  <c r="S11" i="5"/>
  <c r="T23" i="5"/>
  <c r="T31" i="5"/>
  <c r="S7" i="5"/>
  <c r="T47" i="5"/>
  <c r="T15" i="5"/>
  <c r="T63" i="5"/>
  <c r="T55" i="5"/>
  <c r="T39" i="5"/>
  <c r="T10" i="5"/>
  <c r="Y44" i="4" l="1"/>
  <c r="AA48" i="4"/>
  <c r="AB48" i="4" s="1"/>
  <c r="AB49" i="4"/>
  <c r="AC49" i="4" s="1"/>
  <c r="X42" i="4"/>
  <c r="Y42" i="4" s="1"/>
  <c r="X43" i="4"/>
  <c r="Y43" i="4" s="1"/>
  <c r="U12" i="4"/>
  <c r="V12" i="4" s="1"/>
  <c r="U13" i="4"/>
  <c r="U17" i="4"/>
  <c r="V17" i="4" s="1"/>
  <c r="U16" i="4"/>
  <c r="Z46" i="4"/>
  <c r="Z47" i="4"/>
  <c r="AA47" i="4" s="1"/>
  <c r="Z45" i="4"/>
  <c r="Z44" i="4"/>
  <c r="U14" i="4"/>
  <c r="U15" i="4"/>
  <c r="AC50" i="4"/>
  <c r="H124" i="6"/>
  <c r="C124" i="6"/>
  <c r="T7" i="5"/>
  <c r="T9" i="5"/>
  <c r="T18" i="5"/>
  <c r="T11" i="5"/>
  <c r="Z42" i="4" l="1"/>
  <c r="AA42" i="4" s="1"/>
  <c r="Z43" i="4"/>
  <c r="AA43" i="4" s="1"/>
  <c r="AB47" i="4"/>
  <c r="AC47" i="4" s="1"/>
  <c r="AC48" i="4"/>
  <c r="AA46" i="4"/>
  <c r="AB46" i="4" s="1"/>
  <c r="AA45" i="4"/>
  <c r="V15" i="4"/>
  <c r="V16" i="4"/>
  <c r="W16" i="4" s="1"/>
  <c r="W17" i="4"/>
  <c r="X17" i="4" s="1"/>
  <c r="AA44" i="4"/>
  <c r="V13" i="4"/>
  <c r="V14" i="4"/>
  <c r="D124" i="6"/>
  <c r="AC46" i="4" l="1"/>
  <c r="W13" i="4"/>
  <c r="W12" i="4"/>
  <c r="X12" i="4" s="1"/>
  <c r="AB43" i="4"/>
  <c r="AB42" i="4"/>
  <c r="AC42" i="4" s="1"/>
  <c r="AB45" i="4"/>
  <c r="AC45" i="4" s="1"/>
  <c r="AB44" i="4"/>
  <c r="W15" i="4"/>
  <c r="X15" i="4" s="1"/>
  <c r="W14" i="4"/>
  <c r="X14" i="4" l="1"/>
  <c r="Y14" i="4" s="1"/>
  <c r="X13" i="4"/>
  <c r="X16" i="4"/>
  <c r="AC44" i="4"/>
  <c r="AC43" i="4"/>
  <c r="Y13" i="4" l="1"/>
  <c r="Z13" i="4" s="1"/>
  <c r="Y12" i="4"/>
  <c r="Z12" i="4" s="1"/>
  <c r="Y15" i="4"/>
  <c r="Y16" i="4"/>
  <c r="Y17" i="4"/>
  <c r="Z17" i="4" s="1"/>
  <c r="Z15" i="4" l="1"/>
  <c r="Z16" i="4"/>
  <c r="AA13" i="4" a="1"/>
  <c r="AA13" i="4" s="1"/>
  <c r="AA14" i="4" s="1" a="1"/>
  <c r="AA14" i="4" s="1"/>
  <c r="AA12" i="4"/>
  <c r="Z14" i="4"/>
  <c r="A116" i="6" l="1"/>
  <c r="G116" i="6" s="1"/>
  <c r="B32" i="4"/>
  <c r="AA15" i="4" a="1"/>
  <c r="AA15" i="4" s="1"/>
  <c r="A114" i="6"/>
  <c r="G114" i="6" s="1"/>
  <c r="B30" i="4"/>
  <c r="A115" i="6"/>
  <c r="G115" i="6" s="1"/>
  <c r="B31" i="4"/>
  <c r="A117" i="6" l="1"/>
  <c r="G117" i="6" s="1"/>
  <c r="B33" i="4"/>
  <c r="O31" i="4"/>
  <c r="A18" i="6"/>
  <c r="A17" i="6"/>
  <c r="G7" i="6"/>
  <c r="H7" i="6" s="1"/>
  <c r="O30" i="4"/>
  <c r="AA16" i="4" a="1"/>
  <c r="AA16" i="4" s="1"/>
  <c r="A19" i="6"/>
  <c r="O32" i="4"/>
  <c r="F39" i="6" l="1"/>
  <c r="F28" i="6"/>
  <c r="H28" i="6" s="1"/>
  <c r="F17" i="6"/>
  <c r="H17" i="6" s="1"/>
  <c r="F41" i="6"/>
  <c r="F19" i="6"/>
  <c r="H19" i="6" s="1"/>
  <c r="F30" i="6"/>
  <c r="H30" i="6" s="1"/>
  <c r="D7" i="6"/>
  <c r="C7" i="6"/>
  <c r="F29" i="6"/>
  <c r="H29" i="6" s="1"/>
  <c r="F40" i="6"/>
  <c r="F18" i="6"/>
  <c r="H18" i="6" s="1"/>
  <c r="P55" i="4"/>
  <c r="P43" i="4"/>
  <c r="B43" i="4" s="1"/>
  <c r="A29" i="6" s="1"/>
  <c r="B34" i="4"/>
  <c r="A118" i="6"/>
  <c r="G118" i="6" s="1"/>
  <c r="O33" i="4"/>
  <c r="A20" i="6"/>
  <c r="AA17" i="4" a="1"/>
  <c r="AA17" i="4" s="1"/>
  <c r="P56" i="4"/>
  <c r="P44" i="4"/>
  <c r="B44" i="4" s="1"/>
  <c r="A30" i="6" s="1"/>
  <c r="P54" i="4"/>
  <c r="P42" i="4"/>
  <c r="B42" i="4" s="1"/>
  <c r="A28" i="6" s="1"/>
  <c r="C18" i="6" l="1"/>
  <c r="D18" i="6"/>
  <c r="H40" i="6"/>
  <c r="F115" i="6"/>
  <c r="H115" i="6" s="1"/>
  <c r="F51" i="6"/>
  <c r="F99" i="6"/>
  <c r="H99" i="6" s="1"/>
  <c r="K116" i="6"/>
  <c r="C30" i="6"/>
  <c r="D30" i="6"/>
  <c r="A119" i="6"/>
  <c r="G119" i="6" s="1"/>
  <c r="B35" i="4"/>
  <c r="F31" i="6"/>
  <c r="H31" i="6" s="1"/>
  <c r="F42" i="6"/>
  <c r="F20" i="6"/>
  <c r="H20" i="6" s="1"/>
  <c r="C29" i="6"/>
  <c r="D29" i="6"/>
  <c r="K115" i="6"/>
  <c r="C19" i="6"/>
  <c r="D19" i="6"/>
  <c r="B103" i="4"/>
  <c r="A84" i="6" s="1"/>
  <c r="B91" i="4"/>
  <c r="A73" i="6" s="1"/>
  <c r="B121" i="4"/>
  <c r="A99" i="6" s="1"/>
  <c r="B55" i="4"/>
  <c r="A40" i="6" s="1"/>
  <c r="B67" i="4"/>
  <c r="A51" i="6" s="1"/>
  <c r="B79" i="4"/>
  <c r="A62" i="6" s="1"/>
  <c r="AA18" i="4" a="1"/>
  <c r="AA18" i="4" s="1"/>
  <c r="AA19" i="4" s="1" a="1"/>
  <c r="AA19" i="4" s="1"/>
  <c r="F100" i="6"/>
  <c r="H100" i="6" s="1"/>
  <c r="H41" i="6"/>
  <c r="F52" i="6"/>
  <c r="F116" i="6"/>
  <c r="H116" i="6" s="1"/>
  <c r="D17" i="6"/>
  <c r="C17" i="6"/>
  <c r="B104" i="4"/>
  <c r="A85" i="6" s="1"/>
  <c r="B68" i="4"/>
  <c r="A52" i="6" s="1"/>
  <c r="B122" i="4"/>
  <c r="A100" i="6" s="1"/>
  <c r="B80" i="4"/>
  <c r="A63" i="6" s="1"/>
  <c r="B56" i="4"/>
  <c r="A41" i="6" s="1"/>
  <c r="B92" i="4"/>
  <c r="A74" i="6" s="1"/>
  <c r="P45" i="4"/>
  <c r="B45" i="4" s="1"/>
  <c r="A31" i="6" s="1"/>
  <c r="P57" i="4"/>
  <c r="B119" i="4"/>
  <c r="A97" i="6" s="1"/>
  <c r="B137" i="4"/>
  <c r="A111" i="6" s="1"/>
  <c r="B117" i="4"/>
  <c r="A95" i="6" s="1"/>
  <c r="B115" i="4"/>
  <c r="A94" i="6" s="1"/>
  <c r="B135" i="4"/>
  <c r="A110" i="6" s="1"/>
  <c r="B133" i="4"/>
  <c r="A109" i="6" s="1"/>
  <c r="B131" i="4"/>
  <c r="A108" i="6" s="1"/>
  <c r="B66" i="4"/>
  <c r="A50" i="6" s="1"/>
  <c r="B102" i="4"/>
  <c r="A83" i="6" s="1"/>
  <c r="B120" i="4"/>
  <c r="A98" i="6" s="1"/>
  <c r="B90" i="4"/>
  <c r="A72" i="6" s="1"/>
  <c r="B54" i="4"/>
  <c r="A39" i="6" s="1"/>
  <c r="B78" i="4"/>
  <c r="A61" i="6" s="1"/>
  <c r="D28" i="6"/>
  <c r="K114" i="6"/>
  <c r="C28" i="6"/>
  <c r="A21" i="6"/>
  <c r="O34" i="4"/>
  <c r="F50" i="6"/>
  <c r="F98" i="6"/>
  <c r="H98" i="6" s="1"/>
  <c r="F114" i="6"/>
  <c r="H39" i="6"/>
  <c r="A121" i="6" l="1"/>
  <c r="B37" i="4"/>
  <c r="AA20" i="4" a="1"/>
  <c r="AA20" i="4" s="1"/>
  <c r="AA21" i="4" s="1" a="1"/>
  <c r="AA21" i="4" s="1"/>
  <c r="C98" i="6"/>
  <c r="D98" i="6"/>
  <c r="F61" i="6"/>
  <c r="H50" i="6"/>
  <c r="D99" i="6"/>
  <c r="C99" i="6"/>
  <c r="P46" i="4"/>
  <c r="B46" i="4" s="1"/>
  <c r="A32" i="6" s="1"/>
  <c r="P58" i="4"/>
  <c r="C116" i="6"/>
  <c r="D116" i="6"/>
  <c r="C20" i="6"/>
  <c r="D20" i="6"/>
  <c r="A22" i="6"/>
  <c r="O35" i="4"/>
  <c r="F62" i="6"/>
  <c r="H51" i="6"/>
  <c r="F43" i="6"/>
  <c r="F32" i="6"/>
  <c r="H32" i="6" s="1"/>
  <c r="F21" i="6"/>
  <c r="H21" i="6" s="1"/>
  <c r="F63" i="6"/>
  <c r="H52" i="6"/>
  <c r="H42" i="6"/>
  <c r="F53" i="6"/>
  <c r="F101" i="6"/>
  <c r="H101" i="6" s="1"/>
  <c r="F117" i="6"/>
  <c r="H117" i="6" s="1"/>
  <c r="D115" i="6"/>
  <c r="C115" i="6"/>
  <c r="D40" i="6"/>
  <c r="C40" i="6"/>
  <c r="C100" i="6"/>
  <c r="D100" i="6"/>
  <c r="D41" i="6"/>
  <c r="C41" i="6"/>
  <c r="D31" i="6"/>
  <c r="K117" i="6"/>
  <c r="C31" i="6"/>
  <c r="D39" i="6"/>
  <c r="C39" i="6"/>
  <c r="B2" i="6"/>
  <c r="H114" i="6"/>
  <c r="B81" i="4"/>
  <c r="A64" i="6" s="1"/>
  <c r="B93" i="4"/>
  <c r="A75" i="6" s="1"/>
  <c r="B69" i="4"/>
  <c r="A53" i="6" s="1"/>
  <c r="B105" i="4"/>
  <c r="A86" i="6" s="1"/>
  <c r="B57" i="4"/>
  <c r="A42" i="6" s="1"/>
  <c r="B123" i="4"/>
  <c r="A101" i="6" s="1"/>
  <c r="A120" i="6"/>
  <c r="B36" i="4"/>
  <c r="A123" i="6" l="1"/>
  <c r="B39" i="4"/>
  <c r="AA22" i="4"/>
  <c r="AA23" i="4" s="1"/>
  <c r="H63" i="6"/>
  <c r="F74" i="6"/>
  <c r="F44" i="6"/>
  <c r="F33" i="6"/>
  <c r="H33" i="6" s="1"/>
  <c r="F22" i="6"/>
  <c r="H22" i="6" s="1"/>
  <c r="O36" i="4"/>
  <c r="A23" i="6"/>
  <c r="C21" i="6"/>
  <c r="D21" i="6"/>
  <c r="D50" i="6"/>
  <c r="C50" i="6"/>
  <c r="C42" i="6"/>
  <c r="D42" i="6"/>
  <c r="C32" i="6"/>
  <c r="K118" i="6"/>
  <c r="D32" i="6"/>
  <c r="F72" i="6"/>
  <c r="H61" i="6"/>
  <c r="F73" i="6"/>
  <c r="H62" i="6"/>
  <c r="C114" i="6"/>
  <c r="D114" i="6"/>
  <c r="C117" i="6"/>
  <c r="D117" i="6"/>
  <c r="F102" i="6"/>
  <c r="H102" i="6" s="1"/>
  <c r="F54" i="6"/>
  <c r="F118" i="6"/>
  <c r="H118" i="6" s="1"/>
  <c r="H43" i="6"/>
  <c r="F94" i="6"/>
  <c r="F64" i="6"/>
  <c r="H53" i="6"/>
  <c r="D51" i="6"/>
  <c r="C51" i="6"/>
  <c r="B58" i="4"/>
  <c r="A43" i="6" s="1"/>
  <c r="B94" i="4"/>
  <c r="A76" i="6" s="1"/>
  <c r="B124" i="4"/>
  <c r="A102" i="6" s="1"/>
  <c r="B70" i="4"/>
  <c r="A54" i="6" s="1"/>
  <c r="B82" i="4"/>
  <c r="A65" i="6" s="1"/>
  <c r="B106" i="4"/>
  <c r="A87" i="6" s="1"/>
  <c r="C101" i="6"/>
  <c r="D101" i="6"/>
  <c r="B38" i="4"/>
  <c r="A122" i="6"/>
  <c r="C52" i="6"/>
  <c r="D52" i="6"/>
  <c r="P59" i="4"/>
  <c r="P47" i="4"/>
  <c r="B47" i="4" s="1"/>
  <c r="A33" i="6" s="1"/>
  <c r="O37" i="4"/>
  <c r="A24" i="6"/>
  <c r="O38" i="4" l="1"/>
  <c r="A25" i="6"/>
  <c r="F95" i="6"/>
  <c r="H94" i="6"/>
  <c r="F109" i="6"/>
  <c r="H109" i="6" s="1"/>
  <c r="F110" i="6"/>
  <c r="H110" i="6" s="1"/>
  <c r="F111" i="6"/>
  <c r="H111" i="6" s="1"/>
  <c r="F108" i="6"/>
  <c r="H108" i="6" s="1"/>
  <c r="P48" i="4"/>
  <c r="B48" i="4" s="1"/>
  <c r="A34" i="6" s="1"/>
  <c r="P60" i="4"/>
  <c r="D43" i="6"/>
  <c r="C43" i="6"/>
  <c r="D62" i="6"/>
  <c r="C62" i="6"/>
  <c r="D22" i="6"/>
  <c r="C22" i="6"/>
  <c r="D118" i="6"/>
  <c r="C118" i="6"/>
  <c r="F84" i="6"/>
  <c r="H84" i="6" s="1"/>
  <c r="H73" i="6"/>
  <c r="D33" i="6"/>
  <c r="C33" i="6"/>
  <c r="K119" i="6"/>
  <c r="B59" i="4"/>
  <c r="A44" i="6" s="1"/>
  <c r="B83" i="4"/>
  <c r="A66" i="6" s="1"/>
  <c r="B71" i="4"/>
  <c r="A55" i="6" s="1"/>
  <c r="B107" i="4"/>
  <c r="A88" i="6" s="1"/>
  <c r="B95" i="4"/>
  <c r="A77" i="6" s="1"/>
  <c r="B125" i="4"/>
  <c r="A103" i="6" s="1"/>
  <c r="H54" i="6"/>
  <c r="F65" i="6"/>
  <c r="D61" i="6"/>
  <c r="C61" i="6"/>
  <c r="H44" i="6"/>
  <c r="F103" i="6"/>
  <c r="H103" i="6" s="1"/>
  <c r="F119" i="6"/>
  <c r="H119" i="6" s="1"/>
  <c r="F55" i="6"/>
  <c r="C102" i="6"/>
  <c r="D102" i="6"/>
  <c r="F83" i="6"/>
  <c r="H83" i="6" s="1"/>
  <c r="H72" i="6"/>
  <c r="F85" i="6"/>
  <c r="H85" i="6" s="1"/>
  <c r="H74" i="6"/>
  <c r="C63" i="6"/>
  <c r="D63" i="6"/>
  <c r="O39" i="4"/>
  <c r="A26" i="6"/>
  <c r="D53" i="6"/>
  <c r="C53" i="6"/>
  <c r="Q53" i="4"/>
  <c r="Q41" i="4"/>
  <c r="B41" i="4" s="1"/>
  <c r="A27" i="6" s="1"/>
  <c r="P49" i="4"/>
  <c r="B49" i="4" s="1"/>
  <c r="A35" i="6" s="1"/>
  <c r="P61" i="4"/>
  <c r="F75" i="6"/>
  <c r="H64" i="6"/>
  <c r="D108" i="6" l="1"/>
  <c r="C108" i="6"/>
  <c r="P63" i="4"/>
  <c r="P51" i="4"/>
  <c r="B51" i="4" s="1"/>
  <c r="A37" i="6" s="1"/>
  <c r="H65" i="6"/>
  <c r="F76" i="6"/>
  <c r="C111" i="6"/>
  <c r="D111" i="6"/>
  <c r="B97" i="4"/>
  <c r="A79" i="6" s="1"/>
  <c r="B61" i="4"/>
  <c r="A46" i="6" s="1"/>
  <c r="B109" i="4"/>
  <c r="A90" i="6" s="1"/>
  <c r="B73" i="4"/>
  <c r="A57" i="6" s="1"/>
  <c r="B127" i="4"/>
  <c r="A105" i="6" s="1"/>
  <c r="B85" i="4"/>
  <c r="A68" i="6" s="1"/>
  <c r="D54" i="6"/>
  <c r="C54" i="6"/>
  <c r="D110" i="6"/>
  <c r="C110" i="6"/>
  <c r="D64" i="6"/>
  <c r="C64" i="6"/>
  <c r="D83" i="6"/>
  <c r="C83" i="6"/>
  <c r="H75" i="6"/>
  <c r="F86" i="6"/>
  <c r="H86" i="6" s="1"/>
  <c r="C109" i="6"/>
  <c r="D109" i="6"/>
  <c r="C74" i="6"/>
  <c r="D74" i="6"/>
  <c r="D119" i="6"/>
  <c r="C119" i="6"/>
  <c r="C73" i="6"/>
  <c r="D73" i="6"/>
  <c r="D94" i="6"/>
  <c r="C94" i="6"/>
  <c r="F66" i="6"/>
  <c r="H55" i="6"/>
  <c r="B53" i="4"/>
  <c r="A38" i="6" s="1"/>
  <c r="B77" i="4"/>
  <c r="A60" i="6" s="1"/>
  <c r="B101" i="4"/>
  <c r="A82" i="6" s="1"/>
  <c r="B65" i="4"/>
  <c r="A49" i="6" s="1"/>
  <c r="B89" i="4"/>
  <c r="A71" i="6" s="1"/>
  <c r="D85" i="6"/>
  <c r="C85" i="6"/>
  <c r="C103" i="6"/>
  <c r="D103" i="6"/>
  <c r="C84" i="6"/>
  <c r="D84" i="6"/>
  <c r="F96" i="6"/>
  <c r="H96" i="6" s="1"/>
  <c r="H95" i="6"/>
  <c r="C44" i="6"/>
  <c r="D44" i="6"/>
  <c r="B108" i="4"/>
  <c r="A89" i="6" s="1"/>
  <c r="B72" i="4"/>
  <c r="A56" i="6" s="1"/>
  <c r="B126" i="4"/>
  <c r="A104" i="6" s="1"/>
  <c r="B84" i="4"/>
  <c r="A67" i="6" s="1"/>
  <c r="B96" i="4"/>
  <c r="A78" i="6" s="1"/>
  <c r="B60" i="4"/>
  <c r="A45" i="6" s="1"/>
  <c r="D72" i="6"/>
  <c r="C72" i="6"/>
  <c r="P50" i="4"/>
  <c r="B50" i="4" s="1"/>
  <c r="A36" i="6" s="1"/>
  <c r="P62" i="4"/>
  <c r="C86" i="6" l="1"/>
  <c r="D86" i="6"/>
  <c r="D75" i="6"/>
  <c r="C75" i="6"/>
  <c r="H76" i="6"/>
  <c r="F87" i="6"/>
  <c r="H87" i="6" s="1"/>
  <c r="C65" i="6"/>
  <c r="D65" i="6"/>
  <c r="B86" i="4"/>
  <c r="A69" i="6" s="1"/>
  <c r="B74" i="4"/>
  <c r="A58" i="6" s="1"/>
  <c r="B128" i="4"/>
  <c r="A106" i="6" s="1"/>
  <c r="B98" i="4"/>
  <c r="A80" i="6" s="1"/>
  <c r="B110" i="4"/>
  <c r="A91" i="6" s="1"/>
  <c r="B62" i="4"/>
  <c r="A47" i="6" s="1"/>
  <c r="F77" i="6"/>
  <c r="H66" i="6"/>
  <c r="B87" i="4"/>
  <c r="A70" i="6" s="1"/>
  <c r="B63" i="4"/>
  <c r="A48" i="6" s="1"/>
  <c r="B75" i="4"/>
  <c r="A59" i="6" s="1"/>
  <c r="B129" i="4"/>
  <c r="A107" i="6" s="1"/>
  <c r="B99" i="4"/>
  <c r="A81" i="6" s="1"/>
  <c r="B111" i="4"/>
  <c r="A92" i="6" s="1"/>
  <c r="D95" i="6"/>
  <c r="C95" i="6"/>
  <c r="D96" i="6"/>
  <c r="C96" i="6"/>
  <c r="C55" i="6"/>
  <c r="D55" i="6"/>
  <c r="C66" i="6" l="1"/>
  <c r="D66" i="6"/>
  <c r="C87" i="6"/>
  <c r="D87" i="6"/>
  <c r="C76" i="6"/>
  <c r="D76" i="6"/>
  <c r="F88" i="6"/>
  <c r="H88" i="6" s="1"/>
  <c r="H77" i="6"/>
  <c r="D88" i="6" l="1"/>
  <c r="C88" i="6"/>
  <c r="H125" i="6"/>
  <c r="D2" i="6" s="1"/>
  <c r="C77" i="6"/>
  <c r="D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<sst xmlns="http://schemas.openxmlformats.org/spreadsheetml/2006/main" count="28176" uniqueCount="20081">
  <si>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</si>
  <si>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</si>
  <si>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</si>
  <si>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</si>
  <si>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</si>
  <si>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</si>
  <si>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</si>
  <si>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</si>
  <si>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</si>
  <si>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</si>
  <si>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</si>
  <si>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</si>
  <si>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</si>
  <si>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</si>
  <si>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</si>
  <si>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</si>
  <si>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</si>
  <si>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</si>
  <si>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</si>
  <si>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</si>
  <si>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</si>
  <si>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</si>
  <si>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</si>
  <si>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</si>
  <si>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</si>
  <si>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</si>
  <si>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</si>
  <si>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</si>
  <si>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</si>
  <si>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</si>
  <si>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</si>
  <si>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</si>
  <si>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</si>
  <si>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</si>
  <si>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</si>
  <si>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</si>
  <si>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</si>
  <si>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</si>
  <si>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</si>
  <si>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</si>
  <si>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</si>
  <si>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</si>
  <si>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</si>
  <si>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</si>
  <si>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</si>
  <si>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</si>
  <si>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</si>
  <si>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</si>
  <si>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</si>
  <si>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</si>
  <si>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</si>
  <si>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</si>
  <si>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</si>
  <si>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</si>
  <si>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</si>
  <si>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</si>
  <si>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</si>
  <si>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</si>
  <si>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</si>
  <si>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</si>
  <si>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</si>
  <si>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</si>
  <si>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</si>
  <si>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</si>
  <si>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</si>
  <si>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</si>
  <si>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</si>
  <si>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</si>
  <si>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</si>
  <si>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</si>
  <si>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</si>
  <si>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</si>
  <si>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</si>
  <si>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</si>
  <si>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</si>
  <si>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</si>
  <si>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</si>
  <si>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</si>
  <si>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</si>
  <si>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</si>
  <si>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</si>
  <si>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</si>
  <si>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</si>
  <si>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</si>
  <si>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</si>
  <si>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</si>
  <si>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</si>
  <si>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</si>
  <si>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</si>
  <si>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</si>
  <si>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</si>
  <si>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</si>
  <si>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</si>
  <si>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</si>
  <si>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</si>
  <si>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</si>
  <si>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</si>
  <si>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</si>
  <si>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</si>
  <si>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</si>
  <si>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</si>
  <si>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</si>
  <si>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</si>
  <si>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</si>
  <si>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</si>
  <si>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</si>
  <si>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</si>
  <si>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</si>
  <si>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</si>
  <si>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</si>
  <si>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</si>
  <si>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</si>
  <si>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</si>
  <si>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</si>
  <si>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</si>
  <si>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</si>
  <si>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</si>
  <si>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</si>
  <si>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</si>
  <si>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</si>
  <si>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</si>
  <si>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</si>
  <si>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</si>
  <si>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</si>
  <si>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</si>
  <si>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</si>
  <si>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</si>
  <si>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</si>
  <si>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</si>
  <si>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</si>
  <si>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</si>
  <si>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</si>
  <si>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</si>
  <si>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</si>
  <si>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</si>
  <si>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</si>
  <si>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</si>
  <si>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</si>
  <si>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</si>
  <si>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</si>
  <si>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</si>
  <si>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</si>
  <si>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</si>
  <si>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</si>
  <si>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</si>
  <si>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</si>
  <si>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</si>
  <si>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</si>
  <si>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</si>
  <si>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</si>
  <si>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</si>
  <si>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</si>
  <si>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</si>
  <si>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</si>
  <si>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</si>
  <si>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</si>
  <si>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</si>
  <si>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</si>
  <si>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</si>
  <si>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</si>
  <si>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</si>
  <si>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</si>
  <si>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</si>
  <si>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</si>
  <si>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</si>
  <si>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</si>
  <si>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</si>
  <si>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</si>
  <si>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</si>
  <si>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</si>
  <si>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</si>
  <si>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</si>
  <si>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</si>
  <si>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</si>
  <si>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</si>
  <si>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</si>
  <si>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</si>
  <si>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</si>
  <si>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</si>
  <si>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</si>
  <si>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</si>
  <si>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</si>
  <si>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</si>
  <si>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</si>
  <si>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</si>
  <si>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</si>
  <si>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</si>
  <si>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</si>
  <si>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</si>
  <si>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</si>
  <si>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</si>
  <si>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</si>
  <si>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</si>
  <si>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</si>
  <si>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</si>
  <si>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</si>
  <si>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</si>
  <si>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</si>
  <si>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</si>
  <si>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</si>
  <si>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</si>
  <si>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</si>
  <si>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</si>
  <si>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</si>
  <si>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</si>
  <si>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</si>
  <si>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</si>
  <si>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</si>
  <si>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</si>
  <si>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</si>
  <si>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</si>
  <si>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</si>
  <si>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</si>
  <si>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</si>
  <si>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</si>
  <si>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</si>
  <si>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</si>
  <si>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</si>
  <si>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</si>
  <si>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</si>
  <si>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</si>
  <si>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</si>
  <si>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</si>
  <si>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</si>
  <si>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</si>
  <si>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</si>
  <si>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</si>
  <si>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</si>
  <si>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</si>
  <si>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</si>
  <si>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</si>
  <si>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</si>
  <si>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</si>
  <si>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</si>
  <si>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</si>
  <si>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</si>
  <si>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</si>
  <si>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</si>
  <si>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</si>
  <si>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</si>
  <si>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</si>
  <si>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</si>
  <si>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</si>
  <si>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</si>
  <si>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</si>
  <si>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</si>
  <si>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</si>
  <si>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</si>
  <si>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</si>
  <si>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</si>
  <si>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</si>
  <si>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</si>
  <si>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</si>
  <si>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</si>
  <si>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</si>
  <si>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</si>
  <si>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</si>
  <si>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</si>
  <si>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</si>
  <si>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</si>
  <si>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</si>
  <si>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</si>
  <si>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</si>
  <si>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</si>
  <si>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</si>
  <si>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</si>
  <si>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</si>
  <si>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</si>
  <si>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</si>
  <si>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</si>
  <si>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</si>
  <si>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</si>
  <si>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</si>
  <si>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</si>
  <si>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</si>
  <si>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</si>
  <si>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</si>
  <si>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</si>
  <si>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</si>
  <si>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</si>
  <si>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</si>
  <si>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</si>
  <si>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</si>
  <si>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</si>
  <si>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</si>
  <si>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</si>
  <si>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</si>
  <si>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</si>
  <si>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</si>
  <si>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</si>
  <si>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</si>
  <si>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</si>
  <si>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</si>
  <si>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</si>
  <si>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</si>
  <si>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</si>
  <si>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</si>
  <si>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</si>
  <si>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</si>
  <si>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</si>
  <si>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</si>
  <si>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</si>
  <si>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</si>
  <si>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</si>
  <si>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</si>
  <si>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</si>
  <si>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</si>
  <si>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</si>
  <si>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</si>
  <si>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</si>
  <si>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</si>
  <si>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</si>
  <si>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</si>
  <si>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</si>
  <si>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</si>
  <si>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</si>
  <si>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</si>
  <si>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</si>
  <si>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</si>
  <si>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</si>
  <si>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</si>
  <si>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</si>
  <si>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</si>
  <si>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</si>
  <si>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</si>
  <si>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</si>
  <si>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</si>
  <si>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</si>
  <si>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</si>
  <si>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</si>
  <si>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</si>
  <si>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</si>
  <si>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</si>
  <si>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</si>
  <si>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</si>
  <si>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</si>
  <si>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</si>
  <si>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</si>
  <si>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</si>
  <si>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</si>
  <si>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</si>
  <si>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</si>
  <si>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</si>
  <si>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</si>
  <si>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</si>
  <si>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</si>
  <si>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</si>
  <si>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</si>
  <si>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</si>
  <si>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</si>
  <si>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</si>
  <si>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</si>
  <si>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</si>
  <si>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</si>
  <si>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</si>
  <si>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</si>
  <si>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</si>
  <si>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</si>
  <si>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</si>
  <si>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</si>
  <si>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</si>
  <si>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</si>
  <si>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</si>
  <si>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</si>
  <si>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</si>
  <si>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</si>
  <si>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</si>
  <si>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</si>
  <si>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</si>
  <si>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</si>
  <si>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</si>
  <si>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</si>
  <si>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</si>
  <si>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</si>
  <si>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</si>
  <si>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</si>
  <si>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</si>
  <si>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</si>
  <si>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</si>
  <si>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</si>
  <si>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</si>
  <si>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</si>
  <si>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</si>
  <si>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</si>
  <si>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</si>
  <si>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</si>
  <si>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</si>
  <si>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</si>
  <si>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</si>
  <si>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</si>
  <si>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</si>
  <si>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</si>
  <si>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</si>
  <si>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</si>
  <si>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</si>
  <si>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</si>
  <si>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</si>
  <si>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</si>
  <si>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</si>
  <si>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</si>
  <si>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</si>
  <si>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</si>
  <si>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</si>
  <si>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</si>
  <si>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</si>
  <si>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</si>
  <si>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</si>
  <si>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</si>
  <si>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</si>
  <si>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</si>
  <si>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</si>
  <si>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</si>
  <si>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</si>
  <si>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</si>
  <si>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</si>
  <si>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</si>
  <si>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</si>
  <si>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</si>
  <si>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</si>
  <si>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</si>
  <si>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</si>
  <si>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</si>
  <si>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</si>
  <si>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</si>
  <si>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</si>
  <si>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</si>
  <si>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</si>
  <si>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</si>
  <si>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</si>
  <si>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</si>
  <si>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</si>
  <si>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</si>
  <si>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</si>
  <si>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</si>
  <si>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</si>
  <si>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</si>
  <si>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</si>
  <si>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</si>
  <si>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</si>
  <si>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</si>
  <si>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</si>
  <si>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</si>
  <si>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</si>
  <si>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</si>
  <si>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</si>
  <si>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</si>
  <si>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</si>
  <si>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</si>
  <si>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</si>
  <si>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</si>
  <si>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</si>
  <si>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</si>
  <si>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</si>
  <si>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</si>
  <si>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</si>
  <si>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</si>
  <si>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</si>
  <si>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</si>
  <si>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</si>
  <si>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</si>
  <si>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</si>
  <si>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</si>
  <si>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</si>
  <si>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</si>
  <si>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</si>
  <si>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</si>
  <si>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</si>
  <si>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</si>
  <si>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</si>
  <si>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</si>
  <si>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</si>
  <si>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</si>
  <si>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</si>
  <si>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</si>
  <si>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</si>
  <si>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</si>
  <si>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</si>
  <si>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</si>
  <si>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</si>
  <si>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</si>
  <si>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</si>
  <si>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</si>
  <si>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</si>
  <si>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</si>
  <si>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</si>
  <si>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</si>
  <si>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</si>
  <si>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</si>
  <si>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</si>
  <si>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</si>
  <si>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</si>
  <si>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</si>
  <si>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</si>
  <si>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</si>
  <si>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</si>
  <si>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</si>
  <si>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</si>
  <si>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</si>
  <si>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</si>
  <si>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</si>
  <si>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</si>
  <si>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</si>
  <si>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</si>
  <si>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</si>
  <si>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</si>
  <si>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</si>
  <si>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</si>
  <si>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</si>
  <si>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</si>
  <si>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</si>
  <si>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</si>
  <si>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</si>
  <si>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</si>
  <si>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</si>
  <si>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</si>
  <si>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</si>
  <si>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</si>
  <si>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</si>
  <si>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</si>
  <si>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</si>
  <si>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</si>
  <si>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</si>
  <si>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</si>
  <si>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</si>
  <si>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</si>
  <si>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</si>
  <si>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</si>
  <si>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</si>
  <si>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</si>
  <si>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</si>
  <si>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</si>
  <si>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</si>
  <si>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</si>
  <si>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</si>
  <si>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</si>
  <si>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</si>
  <si>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</si>
  <si>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</si>
  <si>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</si>
  <si>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</si>
  <si>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</si>
  <si>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</si>
  <si>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</si>
  <si>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</si>
  <si>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</si>
  <si>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</si>
  <si>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</si>
  <si>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</si>
  <si>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</si>
  <si>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</si>
  <si>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</si>
  <si>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</si>
  <si>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</si>
  <si>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</si>
  <si>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</si>
  <si>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</si>
  <si>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</si>
  <si>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</si>
  <si>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</si>
  <si>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</si>
  <si>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</si>
  <si>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</si>
  <si>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</si>
  <si>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</si>
  <si>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</si>
  <si>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</si>
  <si>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</si>
  <si>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</si>
  <si>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</si>
  <si>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</si>
  <si>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</si>
  <si>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</si>
  <si>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</si>
  <si>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</si>
  <si>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</si>
  <si>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</si>
  <si>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</si>
  <si>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</si>
  <si>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</si>
  <si>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</si>
  <si>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</si>
  <si>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</si>
  <si>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</si>
  <si>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</si>
  <si>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</si>
  <si>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</si>
  <si>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</si>
  <si>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</si>
  <si>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</si>
  <si>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</si>
  <si>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</si>
  <si>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</si>
  <si>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</si>
  <si>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</si>
  <si>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</si>
  <si>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</si>
  <si>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</si>
  <si>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</si>
  <si>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</si>
  <si>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</si>
  <si>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</si>
  <si>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</si>
  <si>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</si>
  <si>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</si>
  <si>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</si>
  <si>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</si>
  <si>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</si>
  <si>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</si>
  <si>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</si>
  <si>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</si>
  <si>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</si>
  <si>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</si>
  <si>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</si>
  <si>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</si>
  <si>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</si>
  <si>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</si>
  <si>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</si>
  <si>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</si>
  <si>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</si>
  <si>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</si>
  <si>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</si>
  <si>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</si>
  <si>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</si>
  <si>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</si>
  <si>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</si>
  <si>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</si>
  <si>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</si>
  <si>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</si>
  <si>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</si>
  <si>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</si>
  <si>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</si>
  <si>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</si>
  <si>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</si>
  <si>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</si>
  <si>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</si>
  <si>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</si>
  <si>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</si>
  <si>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</si>
  <si>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</si>
  <si>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</si>
  <si>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</si>
  <si>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</si>
  <si>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</si>
  <si>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</si>
  <si>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</si>
  <si>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</si>
  <si>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</si>
  <si>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</si>
  <si>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</si>
  <si>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</si>
  <si>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</si>
  <si>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</si>
  <si>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</si>
  <si>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</si>
  <si>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</si>
  <si>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</si>
  <si>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</si>
  <si>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</si>
  <si>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</si>
  <si>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</si>
  <si>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</si>
  <si>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</si>
  <si>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</si>
  <si>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</si>
  <si>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</si>
  <si>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</si>
  <si>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</si>
  <si>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</si>
  <si>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</si>
  <si>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</si>
  <si>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</si>
  <si>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</si>
  <si>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</si>
  <si>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</si>
  <si>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</si>
  <si>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</si>
  <si>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</si>
  <si>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</si>
  <si>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</si>
  <si>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</si>
  <si>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</si>
  <si>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</si>
  <si>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</si>
  <si>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</si>
  <si>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</si>
  <si>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</si>
  <si>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</si>
  <si>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</si>
  <si>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</si>
  <si>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</si>
  <si>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</si>
  <si>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</si>
  <si>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</si>
  <si>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</si>
  <si>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</si>
  <si>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</si>
  <si>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</si>
  <si>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</si>
  <si>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</si>
  <si>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</si>
  <si>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</si>
  <si>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</si>
  <si>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</si>
  <si>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</si>
  <si>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</si>
  <si>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</si>
  <si>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</si>
  <si>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</si>
  <si>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</si>
  <si>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</si>
  <si>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</si>
  <si>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</si>
  <si>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</si>
  <si>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</si>
  <si>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</si>
  <si>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</si>
  <si>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</si>
  <si>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</si>
  <si>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</si>
  <si>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</si>
  <si>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</si>
  <si>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</si>
  <si>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</si>
  <si>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</si>
  <si>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</si>
  <si>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</si>
  <si>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</si>
  <si>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</si>
  <si>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</si>
  <si>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</si>
  <si>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</si>
  <si>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</si>
  <si>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</si>
  <si>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</si>
  <si>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</si>
  <si>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</si>
  <si>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</si>
  <si>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</si>
  <si>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</si>
  <si>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</si>
  <si>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</si>
  <si>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</si>
  <si>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</si>
  <si>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</si>
  <si>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</si>
  <si>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</si>
  <si>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</si>
  <si>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</si>
  <si>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</si>
  <si>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</si>
  <si>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</si>
  <si>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</si>
  <si>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</si>
  <si>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</si>
  <si>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</si>
  <si>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</si>
  <si>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</si>
  <si>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</si>
  <si>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</si>
  <si>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</si>
  <si>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</si>
  <si>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</si>
  <si>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</si>
  <si>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</si>
  <si>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</si>
  <si>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</si>
  <si>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</si>
  <si>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</si>
  <si>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</si>
  <si>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</si>
  <si>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</si>
  <si>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</si>
  <si>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</si>
  <si>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</si>
  <si>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</si>
  <si>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</si>
  <si>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</si>
  <si>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</si>
  <si>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</si>
  <si>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</si>
  <si>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</si>
  <si>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</si>
  <si>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</si>
  <si>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</si>
  <si>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</si>
  <si>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</si>
  <si>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</si>
  <si>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</si>
  <si>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</si>
  <si>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</si>
  <si>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</si>
  <si>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</si>
  <si>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</si>
  <si>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</si>
  <si>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</si>
  <si>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</si>
  <si>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</si>
  <si>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</si>
  <si>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</si>
  <si>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</si>
  <si>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</si>
  <si>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</si>
  <si>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</si>
  <si>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</si>
  <si>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</si>
  <si>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</si>
  <si>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</si>
  <si>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</si>
  <si>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</si>
  <si>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</si>
  <si>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</si>
  <si>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</si>
  <si>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</si>
  <si>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</si>
  <si>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</si>
  <si>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</si>
  <si>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</si>
  <si>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</si>
  <si>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</si>
  <si>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</si>
  <si>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</si>
  <si>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</si>
  <si>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</si>
  <si>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</si>
  <si>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</si>
  <si>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</si>
  <si>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</si>
  <si>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</si>
  <si>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</si>
  <si>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</si>
  <si>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</si>
  <si>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</si>
  <si>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</si>
  <si>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</si>
  <si>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</si>
  <si>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</si>
  <si>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</si>
  <si>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</si>
  <si>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</si>
  <si>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</si>
  <si>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</si>
  <si>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</si>
  <si>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</si>
  <si>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</si>
  <si>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</si>
  <si>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</si>
  <si>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</si>
  <si>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</si>
  <si>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</si>
  <si>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</si>
  <si>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</si>
  <si>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</si>
  <si>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</si>
  <si>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</si>
  <si>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</si>
  <si>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</si>
  <si>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</si>
  <si>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</si>
  <si>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</si>
  <si>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</si>
  <si>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</si>
  <si>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</si>
  <si>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</si>
  <si>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</si>
  <si>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</si>
  <si>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</si>
  <si>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</si>
  <si>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</si>
  <si>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</si>
  <si>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</si>
  <si>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</si>
  <si>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</si>
  <si>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</si>
  <si>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</si>
  <si>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</si>
  <si>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</si>
  <si>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</si>
  <si>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</si>
  <si>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</si>
  <si>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</si>
  <si>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</si>
  <si>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</si>
  <si>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</si>
  <si>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</si>
  <si>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</si>
  <si>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</si>
  <si>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</si>
  <si>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</si>
  <si>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</si>
  <si>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</si>
  <si>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</si>
  <si>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</si>
  <si>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</si>
  <si>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</si>
  <si>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</si>
  <si>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</si>
  <si>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</si>
  <si>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</si>
  <si>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</si>
  <si>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</si>
  <si>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</si>
  <si>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</si>
  <si>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</si>
  <si>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</si>
  <si>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</si>
  <si>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</si>
  <si>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</si>
  <si>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</si>
  <si>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</si>
  <si>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</si>
  <si>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</si>
  <si>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</si>
  <si>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</si>
  <si>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</si>
  <si>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</si>
  <si>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</si>
  <si>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</si>
  <si>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</si>
  <si>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</si>
  <si>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</si>
  <si>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</si>
  <si>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</si>
  <si>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</si>
  <si>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</si>
  <si>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</si>
  <si>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</si>
  <si>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</si>
  <si>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</si>
  <si>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</si>
  <si>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</si>
  <si>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</si>
  <si>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</si>
  <si>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</si>
  <si>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</si>
  <si>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</si>
  <si>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</si>
  <si>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</si>
  <si>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</si>
  <si>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</si>
  <si>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</si>
  <si>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</si>
  <si>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</si>
  <si>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</si>
  <si>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</si>
  <si>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</si>
  <si>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</si>
  <si>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</si>
  <si>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</si>
  <si>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</si>
  <si>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</si>
  <si>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</si>
  <si>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</si>
  <si>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</si>
  <si>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</si>
  <si>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</si>
  <si>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</si>
  <si>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</si>
  <si>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</si>
  <si>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</si>
  <si>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</si>
  <si>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</si>
  <si>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</si>
  <si>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</si>
  <si>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</si>
  <si>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</si>
  <si>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</si>
  <si>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</si>
  <si>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</si>
  <si>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</si>
  <si>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</si>
  <si>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</si>
  <si>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</si>
  <si>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</si>
  <si>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</si>
  <si>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</si>
  <si>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</si>
  <si>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</si>
  <si>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</si>
  <si>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</si>
  <si>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</si>
  <si>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</si>
  <si>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</si>
  <si>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</si>
  <si>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</si>
  <si>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</si>
  <si>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</si>
  <si>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</si>
  <si>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</si>
  <si>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</si>
  <si>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</si>
  <si>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</si>
  <si>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</si>
  <si>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</si>
  <si>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</si>
  <si>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</si>
  <si>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</si>
  <si>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</si>
  <si>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</si>
  <si>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</si>
  <si>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</si>
  <si>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</si>
  <si>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</si>
  <si>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</si>
  <si>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</si>
  <si>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</si>
  <si>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</si>
  <si>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</si>
  <si>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</si>
  <si>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</si>
  <si>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</si>
  <si>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</si>
  <si>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</si>
  <si>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</si>
  <si>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</si>
  <si>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</si>
  <si>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</si>
  <si>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</si>
  <si>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</si>
  <si>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</si>
  <si>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</si>
  <si>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</si>
  <si>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</si>
  <si>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</si>
  <si>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</si>
  <si>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</si>
  <si>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</si>
  <si>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</si>
  <si>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</si>
  <si>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</si>
  <si>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</si>
  <si>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</si>
  <si>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</si>
  <si>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</si>
  <si>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</si>
  <si>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</si>
  <si>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</si>
  <si>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</si>
  <si>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</si>
  <si>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</si>
  <si>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</si>
  <si>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</si>
  <si>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</si>
  <si>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</si>
  <si>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</si>
  <si>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</si>
  <si>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</si>
  <si>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</si>
  <si>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</si>
  <si>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</si>
  <si>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</si>
  <si>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</si>
  <si>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</si>
  <si>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</si>
  <si>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</si>
  <si>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</si>
  <si>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</si>
  <si>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</si>
  <si>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</si>
  <si>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</si>
  <si>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</si>
  <si>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</si>
  <si>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</si>
  <si>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</si>
  <si>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</si>
  <si>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</si>
  <si>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</si>
  <si>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</si>
  <si>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</si>
  <si>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</si>
  <si>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</si>
  <si>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</si>
  <si>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</si>
  <si>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</si>
  <si>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</si>
  <si>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</si>
  <si>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</si>
  <si>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</si>
  <si>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</si>
  <si>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</si>
  <si>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</si>
  <si>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</si>
  <si>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</si>
  <si>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</si>
  <si>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</si>
  <si>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</si>
  <si>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</si>
  <si>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</si>
  <si>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</si>
  <si>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</si>
  <si>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</si>
  <si>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</si>
  <si>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</si>
  <si>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</si>
  <si>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</si>
  <si>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</si>
  <si>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</si>
  <si>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</si>
  <si>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</si>
  <si>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</si>
  <si>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</si>
  <si>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</si>
  <si>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</si>
  <si>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</si>
  <si>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</si>
  <si>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</si>
  <si>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</si>
  <si>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</si>
  <si>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</si>
  <si>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</si>
  <si>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</si>
  <si>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</si>
  <si>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</si>
  <si>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</si>
  <si>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</si>
  <si>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</si>
  <si>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</si>
  <si>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</si>
  <si>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</si>
  <si>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</si>
  <si>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</si>
  <si>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</si>
  <si>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</si>
  <si>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</si>
  <si>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</si>
  <si>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</si>
  <si>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</si>
  <si>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</si>
  <si>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</si>
  <si>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</si>
  <si>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</si>
  <si>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</si>
  <si>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</si>
  <si>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</si>
  <si>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</si>
  <si>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</si>
  <si>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</si>
  <si>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</si>
  <si>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</si>
  <si>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</si>
  <si>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</si>
  <si>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</si>
  <si>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</si>
  <si>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</si>
  <si>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</si>
  <si>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</si>
  <si>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</si>
  <si>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</si>
  <si>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</si>
  <si>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</si>
  <si>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</si>
  <si>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</si>
  <si>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</si>
  <si>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</si>
  <si>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</si>
  <si>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</si>
  <si>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</si>
  <si>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</si>
  <si>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</si>
  <si>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</si>
  <si>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</si>
  <si>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</si>
  <si>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</si>
  <si>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</si>
  <si>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</si>
  <si>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</si>
  <si>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</si>
  <si>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</si>
  <si>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</si>
  <si>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</si>
  <si>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</si>
  <si>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</si>
  <si>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</si>
  <si>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</si>
  <si>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</si>
  <si>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</si>
  <si>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</si>
  <si>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</si>
  <si>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</si>
  <si>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</si>
  <si>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</si>
  <si>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</si>
  <si>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</si>
  <si>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</si>
  <si>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</si>
  <si>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</si>
  <si>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</si>
  <si>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</si>
  <si>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</si>
  <si>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</si>
  <si>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</si>
  <si>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</si>
  <si>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</si>
  <si>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</si>
  <si>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</si>
  <si>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</si>
  <si>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</si>
  <si>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</si>
  <si>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</si>
  <si>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</si>
  <si>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</si>
  <si>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</si>
  <si>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</si>
  <si>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</si>
  <si>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</si>
  <si>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</si>
  <si>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</si>
  <si>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</si>
  <si>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</si>
  <si>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</si>
  <si>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</si>
  <si>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</si>
  <si>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</si>
  <si>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</si>
  <si>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</si>
  <si>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</si>
  <si>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</si>
  <si>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</si>
  <si>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</si>
  <si>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</si>
  <si>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</si>
  <si>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</si>
  <si>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</si>
  <si>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</si>
  <si>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</si>
  <si>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</si>
  <si>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</si>
  <si>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</si>
  <si>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</si>
  <si>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</si>
  <si>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</si>
  <si>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</si>
  <si>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</si>
  <si>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</si>
  <si>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</si>
  <si>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</si>
  <si>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</si>
  <si>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</si>
  <si>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</si>
  <si>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</si>
  <si>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</si>
  <si>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</si>
  <si>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</si>
  <si>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</si>
  <si>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</si>
  <si>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</si>
  <si>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</si>
  <si>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</si>
  <si>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</si>
  <si>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</si>
  <si>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</si>
  <si>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</si>
  <si>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</si>
  <si>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</si>
  <si>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</si>
  <si>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</si>
  <si>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</si>
  <si>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</si>
  <si>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</si>
  <si>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</si>
  <si>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</si>
  <si>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</si>
  <si>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</si>
  <si>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</si>
  <si>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</si>
  <si>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</si>
  <si>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</si>
  <si>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</si>
  <si>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</si>
  <si>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</si>
  <si>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</si>
  <si>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</si>
  <si>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</si>
  <si>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</si>
  <si>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</si>
  <si>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</si>
  <si>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</si>
  <si>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</si>
  <si>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</si>
  <si>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</si>
  <si>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</si>
  <si>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</si>
  <si>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</si>
  <si>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</si>
  <si>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</si>
  <si>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</si>
  <si>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</si>
  <si>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</si>
  <si>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</si>
  <si>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</si>
  <si>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</si>
  <si>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</si>
  <si>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</si>
  <si>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</si>
  <si>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</si>
  <si>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</si>
  <si>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</si>
  <si>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</si>
  <si>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</si>
  <si>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</si>
  <si>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</si>
  <si>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</si>
  <si>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</si>
  <si>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</si>
  <si>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</si>
  <si>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</si>
  <si>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</si>
  <si>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</si>
  <si>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</si>
  <si>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</si>
  <si>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</si>
  <si>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</si>
  <si>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</si>
  <si>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</si>
  <si>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</si>
  <si>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</si>
  <si>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</si>
  <si>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</si>
  <si>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</si>
  <si>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</si>
  <si>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</si>
  <si>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</si>
  <si>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</si>
  <si>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</si>
  <si>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</si>
  <si>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</si>
  <si>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</si>
  <si>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</si>
  <si>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</si>
  <si>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</si>
  <si>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</si>
  <si>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</si>
  <si>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</si>
  <si>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</si>
  <si>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</si>
  <si>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</si>
  <si>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</si>
  <si>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</si>
  <si>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</si>
  <si>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</si>
  <si>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</si>
  <si>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</si>
  <si>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</si>
  <si>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</si>
  <si>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</si>
  <si>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</si>
  <si>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</si>
  <si>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</si>
  <si>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</si>
  <si>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</si>
  <si>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</si>
  <si>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</si>
  <si>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</si>
  <si>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</si>
  <si>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</si>
  <si>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</si>
  <si>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</si>
  <si>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</si>
  <si>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</si>
  <si>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</si>
  <si>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</si>
  <si>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</si>
  <si>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</si>
  <si>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</si>
  <si>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</si>
  <si>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</si>
  <si>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</si>
  <si>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</si>
  <si>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</si>
  <si>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</si>
  <si>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</si>
  <si>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</si>
  <si>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</si>
  <si>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</si>
  <si>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</si>
  <si>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</si>
  <si>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</si>
  <si>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</si>
  <si>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</si>
  <si>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</si>
  <si>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</si>
  <si>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</si>
  <si>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</si>
  <si>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</si>
  <si>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</si>
  <si>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</si>
  <si>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</si>
  <si>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</si>
  <si>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</si>
  <si>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</si>
  <si>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</si>
  <si>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</si>
  <si>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</si>
  <si>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</si>
  <si>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</si>
  <si>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</si>
  <si>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</si>
  <si>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</si>
  <si>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</si>
  <si>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</si>
  <si>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</si>
  <si>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</si>
  <si>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</si>
  <si>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</si>
  <si>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</si>
  <si>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</si>
  <si>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</si>
  <si>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</si>
  <si>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</si>
  <si>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</si>
  <si>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</si>
  <si>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</si>
  <si>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</si>
  <si>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</si>
  <si>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</si>
  <si>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</si>
  <si>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</si>
  <si>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</si>
  <si>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</si>
  <si>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</si>
  <si>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</si>
  <si>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</si>
  <si>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</si>
  <si>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</si>
  <si>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</si>
  <si>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</si>
  <si>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</si>
  <si>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</si>
  <si>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</si>
  <si>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</si>
  <si>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</si>
  <si>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</si>
  <si>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</si>
  <si>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</si>
  <si>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</si>
  <si>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</si>
  <si>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</si>
  <si>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</si>
  <si>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</si>
  <si>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</si>
  <si>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</si>
  <si>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</si>
  <si>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</si>
  <si>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</si>
  <si>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</si>
  <si>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</si>
  <si>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</si>
  <si>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</si>
  <si>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</si>
  <si>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</si>
  <si>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</si>
  <si>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</si>
  <si>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</si>
  <si>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</si>
  <si>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</si>
  <si>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</si>
  <si>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</si>
  <si>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</si>
  <si>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</si>
  <si>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</si>
  <si>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</si>
  <si>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</si>
  <si>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</si>
  <si>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</si>
  <si>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</si>
  <si>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</si>
  <si>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</si>
  <si>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</si>
  <si>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</si>
  <si>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</si>
  <si>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</si>
  <si>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</si>
  <si>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</si>
  <si>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</si>
  <si>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</si>
  <si>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</si>
  <si>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</si>
  <si>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</si>
  <si>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</si>
  <si>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</si>
  <si>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</si>
  <si>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</si>
  <si>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</si>
  <si>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</si>
  <si>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</si>
  <si>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</si>
  <si>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</si>
  <si>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</si>
  <si>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</si>
  <si>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</si>
  <si>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</si>
  <si>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</si>
  <si>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</si>
  <si>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</si>
  <si>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</si>
  <si>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</si>
  <si>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</si>
  <si>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</si>
  <si>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</si>
  <si>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</si>
  <si>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</si>
  <si>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</si>
  <si>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</si>
  <si>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</si>
  <si>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</si>
  <si>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</si>
  <si>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</si>
  <si>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</si>
  <si>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</si>
  <si>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</si>
  <si>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</si>
  <si>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</si>
  <si>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</si>
  <si>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</si>
  <si>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</si>
  <si>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</si>
  <si>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</si>
  <si>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</si>
  <si>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</si>
  <si>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</si>
  <si>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</si>
  <si>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</si>
  <si>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</si>
  <si>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</si>
  <si>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</si>
  <si>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</si>
  <si>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</si>
  <si>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</si>
  <si>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</si>
  <si>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</si>
  <si>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</si>
  <si>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</si>
  <si>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</si>
  <si>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</si>
  <si>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</si>
  <si>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</si>
  <si>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</si>
  <si>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</si>
  <si>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</si>
  <si>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</si>
  <si>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</si>
  <si>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</si>
  <si>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</si>
  <si>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</si>
  <si>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</si>
  <si>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</si>
  <si>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</si>
  <si>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</si>
  <si>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</si>
  <si>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</si>
  <si>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</si>
  <si>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</si>
  <si>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</si>
  <si>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</si>
  <si>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</si>
  <si>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</si>
  <si>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</si>
  <si>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</si>
  <si>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</si>
  <si>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</si>
  <si>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</si>
  <si>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</si>
  <si>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</si>
  <si>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</si>
  <si>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</si>
  <si>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</si>
  <si>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</si>
  <si>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</si>
  <si>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</si>
  <si>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</si>
  <si>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</si>
  <si>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</si>
  <si>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</si>
  <si>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</si>
  <si>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</si>
  <si>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</si>
  <si>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</si>
  <si>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</si>
  <si>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</si>
  <si>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</si>
  <si>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</si>
  <si>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</si>
  <si>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</si>
  <si>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</si>
  <si>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</si>
  <si>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</si>
  <si>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</si>
  <si>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</si>
  <si>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</si>
  <si>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</si>
  <si>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</si>
  <si>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</si>
  <si>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</si>
  <si>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</si>
  <si>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</si>
  <si>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</si>
  <si>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</si>
  <si>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</si>
  <si>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</si>
  <si>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</si>
  <si>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</si>
  <si>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</si>
  <si>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</si>
  <si>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</si>
  <si>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</si>
  <si>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</si>
  <si>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</si>
  <si>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</si>
  <si>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</si>
  <si>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</si>
  <si>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</si>
  <si>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</si>
  <si>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</si>
  <si>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</si>
  <si>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</si>
  <si>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</si>
  <si>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</si>
  <si>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</si>
  <si>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</si>
  <si>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</si>
  <si>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</si>
  <si>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</si>
  <si>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</si>
  <si>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</si>
  <si>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</si>
  <si>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</si>
  <si>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</si>
  <si>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</si>
  <si>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</si>
  <si>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</si>
  <si>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</si>
  <si>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</si>
  <si>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</si>
  <si>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</si>
  <si>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</si>
  <si>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</si>
  <si>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</si>
  <si>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</si>
  <si>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</si>
  <si>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</si>
  <si>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</si>
  <si>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</si>
  <si>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</si>
  <si>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</si>
  <si>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</si>
  <si>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</si>
  <si>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</si>
  <si>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</si>
  <si>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</si>
  <si>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</si>
  <si>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</si>
  <si>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</si>
  <si>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</si>
  <si>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</si>
  <si>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</si>
  <si>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</si>
  <si>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</si>
  <si>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</si>
  <si>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</si>
  <si>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</si>
  <si>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</si>
  <si>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</si>
  <si>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</si>
  <si>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</si>
  <si>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</si>
  <si>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</si>
  <si>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</si>
  <si>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</si>
  <si>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</si>
  <si>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</si>
  <si>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</si>
  <si>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</si>
  <si>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</si>
  <si>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</si>
  <si>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</si>
  <si>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</si>
  <si>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</si>
  <si>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</si>
  <si>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</si>
  <si>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</si>
  <si>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</si>
  <si>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</si>
  <si>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</si>
  <si>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</si>
  <si>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</si>
  <si>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</si>
  <si>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</si>
  <si>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</si>
  <si>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</si>
  <si>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</si>
  <si>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</si>
  <si>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</si>
  <si>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</si>
  <si>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</si>
  <si>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</si>
  <si>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</si>
  <si>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</si>
  <si>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</si>
  <si>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</si>
  <si>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</si>
  <si>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</si>
  <si>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</si>
  <si>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</si>
  <si>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</si>
  <si>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</si>
  <si>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</si>
  <si>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</si>
  <si>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</si>
  <si>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</si>
  <si>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</si>
  <si>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</si>
  <si>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</si>
  <si>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</si>
  <si>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</si>
  <si>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</si>
  <si>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</si>
  <si>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</si>
  <si>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</si>
  <si>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</si>
  <si>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</si>
  <si>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</si>
  <si>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</si>
  <si>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</si>
  <si>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</si>
  <si>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</si>
  <si>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</si>
  <si>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</si>
  <si>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</si>
  <si>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</si>
  <si>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</si>
  <si>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</si>
  <si>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</si>
  <si>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</si>
  <si>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</si>
  <si>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</si>
  <si>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</si>
  <si>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</si>
  <si>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</si>
  <si>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</si>
  <si>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</si>
  <si>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</si>
  <si>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</si>
  <si>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</si>
  <si>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</si>
  <si>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</si>
  <si>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</si>
  <si>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</si>
  <si>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</si>
  <si>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</si>
  <si>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</si>
  <si>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</si>
  <si>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</si>
  <si>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</si>
  <si>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</si>
  <si>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</si>
  <si>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</si>
  <si>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</si>
  <si>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</si>
  <si>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</si>
  <si>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</si>
  <si>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</si>
  <si>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</si>
  <si>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</si>
  <si>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</si>
  <si>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</si>
  <si>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</si>
  <si>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</si>
  <si>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</si>
  <si>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</si>
  <si>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</si>
  <si>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</si>
  <si>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</si>
  <si>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</si>
  <si>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</si>
  <si>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</si>
  <si>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</si>
  <si>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</si>
  <si>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</si>
  <si>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</si>
  <si>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</si>
  <si>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</si>
  <si>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</si>
  <si>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</si>
  <si>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</si>
  <si>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</si>
  <si>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</si>
  <si>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</si>
  <si>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</si>
  <si>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</si>
  <si>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</si>
  <si>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</si>
  <si>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</si>
  <si>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</si>
  <si>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</si>
  <si>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</si>
  <si>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</si>
  <si>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</si>
  <si>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</si>
  <si>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</si>
  <si>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</si>
  <si>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</si>
  <si>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</si>
  <si>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</si>
  <si>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</si>
  <si>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</si>
  <si>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</si>
  <si>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</si>
  <si>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</si>
  <si>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</si>
  <si>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</si>
  <si>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</si>
  <si>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</si>
  <si>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</si>
  <si>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</si>
  <si>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</si>
  <si>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</si>
  <si>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</si>
  <si>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</si>
  <si>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</si>
  <si>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</si>
  <si>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</si>
  <si>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</si>
  <si>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</si>
  <si>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</si>
  <si>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</si>
  <si>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</si>
  <si>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</si>
  <si>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</si>
  <si>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</si>
  <si>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</si>
  <si>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</si>
  <si>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</si>
  <si>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</si>
  <si>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</si>
  <si>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</si>
  <si>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</si>
  <si>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</si>
  <si>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</si>
  <si>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</si>
  <si>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</si>
  <si>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</si>
  <si>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</si>
  <si>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</si>
  <si>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</si>
  <si>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</si>
  <si>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</si>
  <si>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</si>
  <si>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</si>
  <si>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</si>
  <si>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</si>
  <si>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</si>
  <si>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</si>
  <si>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</si>
  <si>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</si>
  <si>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</si>
  <si>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</si>
  <si>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</si>
  <si>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</si>
  <si>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</si>
  <si>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</si>
  <si>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</si>
  <si>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</si>
  <si>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</si>
  <si>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</si>
  <si>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</si>
  <si>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</si>
  <si>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</si>
  <si>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</si>
  <si>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</si>
  <si>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</si>
  <si>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</si>
  <si>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</si>
  <si>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</si>
  <si>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</si>
  <si>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</si>
  <si>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</si>
  <si>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</si>
  <si>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</si>
  <si>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</si>
  <si>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</si>
  <si>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</si>
  <si>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</si>
  <si>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</si>
  <si>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</si>
  <si>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</si>
  <si>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</si>
  <si>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</si>
  <si>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</si>
  <si>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</si>
  <si>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</si>
  <si>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</si>
  <si>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</si>
  <si>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</si>
  <si>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</si>
  <si>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</si>
  <si>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</si>
  <si>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</si>
  <si>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</si>
  <si>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</si>
  <si>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</si>
  <si>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</si>
  <si>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</si>
  <si>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</si>
  <si>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</si>
  <si>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</si>
  <si>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</si>
  <si>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</si>
  <si>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</si>
  <si>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</si>
  <si>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</si>
  <si>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</si>
  <si>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</si>
  <si>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</si>
  <si>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</si>
  <si>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</si>
  <si>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</si>
  <si>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</si>
  <si>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</si>
  <si>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</si>
  <si>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</si>
  <si>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</si>
  <si>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</si>
  <si>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</si>
  <si>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</si>
  <si>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</si>
  <si>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</si>
  <si>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</si>
  <si>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</si>
  <si>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</si>
  <si>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</si>
  <si>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</si>
  <si>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</si>
  <si>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</si>
  <si>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</si>
  <si>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</si>
  <si>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</si>
  <si>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</si>
  <si>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</si>
  <si>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</si>
  <si>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</si>
  <si>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</si>
  <si>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</si>
  <si>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</si>
  <si>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</si>
  <si>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</si>
  <si>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</si>
  <si>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</si>
  <si>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</si>
  <si>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</si>
  <si>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</si>
  <si>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</si>
  <si>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</si>
  <si>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</si>
  <si>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</si>
  <si>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</si>
  <si>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</si>
  <si>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</si>
  <si>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</si>
  <si>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</si>
  <si>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</si>
  <si>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</si>
  <si>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</si>
  <si>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</si>
  <si>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</si>
  <si>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</si>
  <si>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</si>
  <si>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</si>
  <si>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</si>
  <si>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</si>
  <si>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</si>
  <si>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</si>
  <si>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</si>
  <si>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</si>
  <si>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</si>
  <si>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</si>
  <si>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</si>
  <si>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</si>
  <si>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</si>
  <si>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</si>
  <si>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</si>
  <si>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</si>
  <si>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</si>
  <si>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</si>
  <si>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</si>
  <si>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</si>
  <si>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</si>
  <si>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</si>
  <si>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</si>
  <si>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</si>
  <si>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</si>
  <si>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</si>
  <si>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</si>
  <si>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</si>
  <si>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</si>
  <si>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</si>
  <si>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</si>
  <si>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</si>
  <si>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</si>
  <si>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</si>
  <si>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</si>
  <si>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</si>
  <si>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</si>
  <si>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</si>
  <si>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</si>
  <si>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</si>
  <si>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</si>
  <si>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</si>
  <si>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</si>
  <si>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</si>
  <si>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</si>
  <si>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</si>
  <si>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</si>
  <si>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</si>
  <si>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</si>
  <si>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</si>
  <si>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</si>
  <si>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</si>
  <si>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</si>
  <si>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</si>
  <si>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</si>
  <si>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</si>
  <si>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</si>
  <si>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</si>
  <si>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</si>
  <si>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</si>
  <si>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</si>
  <si>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</si>
  <si>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</si>
  <si>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</si>
  <si>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</si>
  <si>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</si>
  <si>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</si>
  <si>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</si>
  <si>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</si>
  <si>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</si>
  <si>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</si>
  <si>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</si>
  <si>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</si>
  <si>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</si>
  <si>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</si>
  <si>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</si>
  <si>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</si>
  <si>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</si>
  <si>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</si>
  <si>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</si>
  <si>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</si>
  <si>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</si>
  <si>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</si>
  <si>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</si>
  <si>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</si>
  <si>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</si>
  <si>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</si>
  <si>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</si>
  <si>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</si>
  <si>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</si>
  <si>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</si>
  <si>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</si>
  <si>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</si>
  <si>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</si>
  <si>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</si>
  <si>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</si>
  <si>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</si>
  <si>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</si>
  <si>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</si>
  <si>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</si>
  <si>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</si>
  <si>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</si>
  <si>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</si>
  <si>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</si>
  <si>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</si>
  <si>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</si>
  <si>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</si>
  <si>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</si>
  <si>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</si>
  <si>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</si>
  <si>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</si>
  <si>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</si>
  <si>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</si>
  <si>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</si>
  <si>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</si>
  <si>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</si>
  <si>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</si>
  <si>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</si>
  <si>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</si>
  <si>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</si>
  <si>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</si>
  <si>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</si>
  <si>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</si>
  <si>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</si>
  <si>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</si>
  <si>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</si>
  <si>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</si>
  <si>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</si>
  <si>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</si>
  <si>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</si>
  <si>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</si>
  <si>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</si>
  <si>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</si>
  <si>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</si>
  <si>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</si>
  <si>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</si>
  <si>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</si>
  <si>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</si>
  <si>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</si>
  <si>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</si>
  <si>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</si>
  <si>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</si>
  <si>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</si>
  <si>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</si>
  <si>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</si>
  <si>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</si>
  <si>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</si>
  <si>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</si>
  <si>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</si>
  <si>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</si>
  <si>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</si>
  <si>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</si>
  <si>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</si>
  <si>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</si>
  <si>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</si>
  <si>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</si>
  <si>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</si>
  <si>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</si>
  <si>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</si>
  <si>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</si>
  <si>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</si>
  <si>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</si>
  <si>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</si>
  <si>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</si>
  <si>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</si>
  <si>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</si>
  <si>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</si>
  <si>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</si>
  <si>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</si>
  <si>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</si>
  <si>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</si>
  <si>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</si>
  <si>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</si>
  <si>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</si>
  <si>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</si>
  <si>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</si>
  <si>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</si>
  <si>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</si>
  <si>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</si>
  <si>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</si>
  <si>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</si>
  <si>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</si>
  <si>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</si>
  <si>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</si>
  <si>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</si>
  <si>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</si>
  <si>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</si>
  <si>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</si>
  <si>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</si>
  <si>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</si>
  <si>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</si>
  <si>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</si>
  <si>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</si>
  <si>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</si>
  <si>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</si>
  <si>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</si>
  <si>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</si>
  <si>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</si>
  <si>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</si>
  <si>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</si>
  <si>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</si>
  <si>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</si>
  <si>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</si>
  <si>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</si>
  <si>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</si>
  <si>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</si>
  <si>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</si>
  <si>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</si>
  <si>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</si>
  <si>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</si>
  <si>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</si>
  <si>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</si>
  <si>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</si>
  <si>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</si>
  <si>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</si>
  <si>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</si>
  <si>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</si>
  <si>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</si>
  <si>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</si>
  <si>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</si>
  <si>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</si>
  <si>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</si>
  <si>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</si>
  <si>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</si>
  <si>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</si>
  <si>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</si>
  <si>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</si>
  <si>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</si>
  <si>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</si>
  <si>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</si>
  <si>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</si>
  <si>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</si>
  <si>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</si>
  <si>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</si>
  <si>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</si>
  <si>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</si>
  <si>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</si>
  <si>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</si>
  <si>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</si>
  <si>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</si>
  <si>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</si>
  <si>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</si>
  <si>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</si>
  <si>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</si>
  <si>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</si>
  <si>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</si>
  <si>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</si>
  <si>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</si>
  <si>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</si>
  <si>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</si>
  <si>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</si>
  <si>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</si>
  <si>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</si>
  <si>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</si>
  <si>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</si>
  <si>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</si>
  <si>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</si>
  <si>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</si>
  <si>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</si>
  <si>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</si>
  <si>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</si>
  <si>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</si>
  <si>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</si>
  <si>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</si>
  <si>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</si>
  <si>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</si>
  <si>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</si>
  <si>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</si>
  <si>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</si>
  <si>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</si>
  <si>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</si>
  <si>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</si>
  <si>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</si>
  <si>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</si>
  <si>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</si>
  <si>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</si>
  <si>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</si>
  <si>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</si>
  <si>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</si>
  <si>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</si>
  <si>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</si>
  <si>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</si>
  <si>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</si>
  <si>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</si>
  <si>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</si>
  <si>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</si>
  <si>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</si>
  <si>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</si>
  <si>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</si>
  <si>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</si>
  <si>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</si>
  <si>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</si>
  <si>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</si>
  <si>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</si>
  <si>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</si>
  <si>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</si>
  <si>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</si>
  <si>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</si>
  <si>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</si>
  <si>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</si>
  <si>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</si>
  <si>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</si>
  <si>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</si>
  <si>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</si>
  <si>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</si>
  <si>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</si>
  <si>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</si>
  <si>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</si>
  <si>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</si>
  <si>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</si>
  <si>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</si>
  <si>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</si>
  <si>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</si>
  <si>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</si>
  <si>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</si>
  <si>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</si>
  <si>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</si>
  <si>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</si>
  <si>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</si>
  <si>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</si>
  <si>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</si>
  <si>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</si>
  <si>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</si>
  <si>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</si>
  <si>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</si>
  <si>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</si>
  <si>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</si>
  <si>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</si>
  <si>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</si>
  <si>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</si>
  <si>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</si>
  <si>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</si>
  <si>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</si>
  <si>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</si>
  <si>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</si>
  <si>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</si>
  <si>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</si>
  <si>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</si>
  <si>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</si>
  <si>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</si>
  <si>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</si>
  <si>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</si>
  <si>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</si>
  <si>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</si>
  <si>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</si>
  <si>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</si>
  <si>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</si>
  <si>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</si>
  <si>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</si>
  <si>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</si>
  <si>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</si>
  <si>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</si>
  <si>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</si>
  <si>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</si>
  <si>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</si>
  <si>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</si>
  <si>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</si>
  <si>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</si>
  <si>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</si>
  <si>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</si>
  <si>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</si>
  <si>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</si>
  <si>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</si>
  <si>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</si>
  <si>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</si>
  <si>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</si>
  <si>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</si>
  <si>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</si>
  <si>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</si>
  <si>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</si>
  <si>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</si>
  <si>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</si>
  <si>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</si>
  <si>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</si>
  <si>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</si>
  <si>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</si>
  <si>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</si>
  <si>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</si>
  <si>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</si>
  <si>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</si>
  <si>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</si>
  <si>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</si>
  <si>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</si>
  <si>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</si>
  <si>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</si>
  <si>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</si>
  <si>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</si>
  <si>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</si>
  <si>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</si>
  <si>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</si>
  <si>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</si>
  <si>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</si>
  <si>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</si>
  <si>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</si>
  <si>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</si>
  <si>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</si>
  <si>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</si>
  <si>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</si>
  <si>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</si>
  <si>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</si>
  <si>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</si>
  <si>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</si>
  <si>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</si>
  <si>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</si>
  <si>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</si>
  <si>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</si>
  <si>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</si>
  <si>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</si>
  <si>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</si>
  <si>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</si>
  <si>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</si>
  <si>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</si>
  <si>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</si>
  <si>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</si>
  <si>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</si>
  <si>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</si>
  <si>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</si>
  <si>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</si>
  <si>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</si>
  <si>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</si>
  <si>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</si>
  <si>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</si>
  <si>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</si>
  <si>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</si>
  <si>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</si>
  <si>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</si>
  <si>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</si>
  <si>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</si>
  <si>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</si>
  <si>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</si>
  <si>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</si>
  <si>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</si>
  <si>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</si>
  <si>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</si>
  <si>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</si>
  <si>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</si>
  <si>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</si>
  <si>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</si>
  <si>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</si>
  <si>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</si>
  <si>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</si>
  <si>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</si>
  <si>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</si>
  <si>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</si>
  <si>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</si>
  <si>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</si>
  <si>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</si>
  <si>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</si>
  <si>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</si>
  <si>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</si>
  <si>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</si>
  <si>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</si>
  <si>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</si>
  <si>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</si>
  <si>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</si>
  <si>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</si>
  <si>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</si>
  <si>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</si>
  <si>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</si>
  <si>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</si>
  <si>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</si>
  <si>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</si>
  <si>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</si>
  <si>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</si>
  <si>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</si>
  <si>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</si>
  <si>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</si>
  <si>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</si>
  <si>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</si>
  <si>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</si>
  <si>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</si>
  <si>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</si>
  <si>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</si>
  <si>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</si>
  <si>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</si>
  <si>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</si>
  <si>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</si>
  <si>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</si>
  <si>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</si>
  <si>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</si>
  <si>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</si>
  <si>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</si>
  <si>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</si>
  <si>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</si>
  <si>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</si>
  <si>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</si>
  <si>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</si>
  <si>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</si>
  <si>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</si>
  <si>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</si>
  <si>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</si>
  <si>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</si>
  <si>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</si>
  <si>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</si>
  <si>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</si>
  <si>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</si>
  <si>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</si>
  <si>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</si>
  <si>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</si>
  <si>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</si>
  <si>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</si>
  <si>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</si>
  <si>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</si>
  <si>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</si>
  <si>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</si>
  <si>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</si>
  <si>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</si>
  <si>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</si>
  <si>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</si>
  <si>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</si>
  <si>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</si>
  <si>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</si>
  <si>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</si>
  <si>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</si>
  <si>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</si>
  <si>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</si>
  <si>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</si>
  <si>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</si>
  <si>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</si>
  <si>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</si>
  <si>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</si>
  <si>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</si>
  <si>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</si>
  <si>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</si>
  <si>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</si>
  <si>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</si>
  <si>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</si>
  <si>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</si>
  <si>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</si>
  <si>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</si>
  <si>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</si>
  <si>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</si>
  <si>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</si>
  <si>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</si>
  <si>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</si>
  <si>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</si>
  <si>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</si>
  <si>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</si>
  <si>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</si>
  <si>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</si>
  <si>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</si>
  <si>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</si>
  <si>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</si>
  <si>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</si>
  <si>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</si>
  <si>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</si>
  <si>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</si>
  <si>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</si>
  <si>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</si>
  <si>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</si>
  <si>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</si>
  <si>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</si>
  <si>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</si>
  <si>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</si>
  <si>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</si>
  <si>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</si>
  <si>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</si>
  <si>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</si>
  <si>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</si>
  <si>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</si>
  <si>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</si>
  <si>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</si>
  <si>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</si>
  <si>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</si>
  <si>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</si>
  <si>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</si>
  <si>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</si>
  <si>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</si>
  <si>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</si>
  <si>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</si>
  <si>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</si>
  <si>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</si>
  <si>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</si>
  <si>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</si>
  <si>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</si>
  <si>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</si>
  <si>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</si>
  <si>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</si>
  <si>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</si>
  <si>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</si>
  <si>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</si>
  <si>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</si>
  <si>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</si>
  <si>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</si>
  <si>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</si>
  <si>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</si>
  <si>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</si>
  <si>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</si>
  <si>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</si>
  <si>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</si>
  <si>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</si>
  <si>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</si>
  <si>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</si>
  <si>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</si>
  <si>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</si>
  <si>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</si>
  <si>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</si>
  <si>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</si>
  <si>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</si>
  <si>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</si>
  <si>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</si>
  <si>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</si>
  <si>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</si>
  <si>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</si>
  <si>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</si>
  <si>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</si>
  <si>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</si>
  <si>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</si>
  <si>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</si>
  <si>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</si>
  <si>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</si>
  <si>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</si>
  <si>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</si>
  <si>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</si>
  <si>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</si>
  <si>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</si>
  <si>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</si>
  <si>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</si>
  <si>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</si>
  <si>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</si>
  <si>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</si>
  <si>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</si>
  <si>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</si>
  <si>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</si>
  <si>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</si>
  <si>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</si>
  <si>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</si>
  <si>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</si>
  <si>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</si>
  <si>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</si>
  <si>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</si>
  <si>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</si>
  <si>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</si>
  <si>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</si>
  <si>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</si>
  <si>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</si>
  <si>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</si>
  <si>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</si>
  <si>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</si>
  <si>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</si>
  <si>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</si>
  <si>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</si>
  <si>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</si>
  <si>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</si>
  <si>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</si>
  <si>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</si>
  <si>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</si>
  <si>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</si>
  <si>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</si>
  <si>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</si>
  <si>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</si>
  <si>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</si>
  <si>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</si>
  <si>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</si>
  <si>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</si>
  <si>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</si>
  <si>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</si>
  <si>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</si>
  <si>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</si>
  <si>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</si>
  <si>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</si>
  <si>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</si>
  <si>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</si>
  <si>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</si>
  <si>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</si>
  <si>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</si>
  <si>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</si>
  <si>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</si>
  <si>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</si>
  <si>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</si>
  <si>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</si>
  <si>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</si>
  <si>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</si>
  <si>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</si>
  <si>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</si>
  <si>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</si>
  <si>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</si>
  <si>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</si>
  <si>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</si>
  <si>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</si>
  <si>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</si>
  <si>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</si>
  <si>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</si>
  <si>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</si>
  <si>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</si>
  <si>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</si>
  <si>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</si>
  <si>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</si>
  <si>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</si>
  <si>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</si>
  <si>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</si>
  <si>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</si>
  <si>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</si>
  <si>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</si>
  <si>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</si>
  <si>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</si>
  <si>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</si>
  <si>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</si>
  <si>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</si>
  <si>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</si>
  <si>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</si>
  <si>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</si>
  <si>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</si>
  <si>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</si>
  <si>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</si>
  <si>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</si>
  <si>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</si>
  <si>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</si>
  <si>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</si>
  <si>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</si>
  <si>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</si>
  <si>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</si>
  <si>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</si>
  <si>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</si>
  <si>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</si>
  <si>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</si>
  <si>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</si>
  <si>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</si>
  <si>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</si>
  <si>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</si>
  <si>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</si>
  <si>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</si>
  <si>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</si>
  <si>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</si>
  <si>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</si>
  <si>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</si>
  <si>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</si>
  <si>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</si>
  <si>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</si>
  <si>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</si>
  <si>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</si>
  <si>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</si>
  <si>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</si>
  <si>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</si>
  <si>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</si>
  <si>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</si>
  <si>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</si>
  <si>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</si>
  <si>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</si>
  <si>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</si>
  <si>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</si>
  <si>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</si>
  <si>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</si>
  <si>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</si>
  <si>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</si>
  <si>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</si>
  <si>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</si>
  <si>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</si>
  <si>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</si>
  <si>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</si>
  <si>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</si>
  <si>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</si>
  <si>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</si>
  <si>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</si>
  <si>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</si>
  <si>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</si>
  <si>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</si>
  <si>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</si>
  <si>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</si>
  <si>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</si>
  <si>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</si>
  <si>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</si>
  <si>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</si>
  <si>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</si>
  <si>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</si>
  <si>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</si>
  <si>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</si>
  <si>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</si>
  <si>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</si>
  <si>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</si>
  <si>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</si>
  <si>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</si>
  <si>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</si>
  <si>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</si>
  <si>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</si>
  <si>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</si>
  <si>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</si>
  <si>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</si>
  <si>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</si>
  <si>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</si>
  <si>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</si>
  <si>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</si>
  <si>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</si>
  <si>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</si>
  <si>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</si>
  <si>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</si>
  <si>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</si>
  <si>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</si>
  <si>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</si>
  <si>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</si>
  <si>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</si>
  <si>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</si>
  <si>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</si>
  <si>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</si>
  <si>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</si>
  <si>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</si>
  <si>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</si>
  <si>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</si>
  <si>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</si>
  <si>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</si>
  <si>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</si>
  <si>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</si>
  <si>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</si>
  <si>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</si>
  <si>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</si>
  <si>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</si>
  <si>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</si>
  <si>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</si>
  <si>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</si>
  <si>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</si>
  <si>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</si>
  <si>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</si>
  <si>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</si>
  <si>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</si>
  <si>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</si>
  <si>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</si>
  <si>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</si>
  <si>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</si>
  <si>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</si>
  <si>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</si>
  <si>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</si>
  <si>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</si>
  <si>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</si>
  <si>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</si>
  <si>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</si>
  <si>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</si>
  <si>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</si>
  <si>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</si>
  <si>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</si>
  <si>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</si>
  <si>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</si>
  <si>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</si>
  <si>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</si>
  <si>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</si>
  <si>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</si>
  <si>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</si>
  <si>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</si>
  <si>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</si>
  <si>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</si>
  <si>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</si>
  <si>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</si>
  <si>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</si>
  <si>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</si>
  <si>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</si>
  <si>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</si>
  <si>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</si>
  <si>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</si>
  <si>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</si>
  <si>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</si>
  <si>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</si>
  <si>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</si>
  <si>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</si>
  <si>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</si>
  <si>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</si>
  <si>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</si>
  <si>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</si>
  <si>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</si>
  <si>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</si>
  <si>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</si>
  <si>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</si>
  <si>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</si>
  <si>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</si>
  <si>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</si>
  <si>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</si>
  <si>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</si>
  <si>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</si>
  <si>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</si>
  <si>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</si>
  <si>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</si>
  <si>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</si>
  <si>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</si>
  <si>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</si>
  <si>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</si>
  <si>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</si>
  <si>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</si>
  <si>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</si>
  <si>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</si>
  <si>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</si>
  <si>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</si>
  <si>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</si>
  <si>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</si>
  <si>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</si>
  <si>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</si>
  <si>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</si>
  <si>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</si>
  <si>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</si>
  <si>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</si>
  <si>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</si>
  <si>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</si>
  <si>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</si>
  <si>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</si>
  <si>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</si>
  <si>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</si>
  <si>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</si>
  <si>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</si>
  <si>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</si>
  <si>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</si>
  <si>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</si>
  <si>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</si>
  <si>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</si>
  <si>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</si>
  <si>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</si>
  <si>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</si>
  <si>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</si>
  <si>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</si>
  <si>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</si>
  <si>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</si>
  <si>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</si>
  <si>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</si>
  <si>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</si>
  <si>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</si>
  <si>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</si>
  <si>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</si>
  <si>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</si>
  <si>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</si>
  <si>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</si>
  <si>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</si>
  <si>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</si>
  <si>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</si>
  <si>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</si>
  <si>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</si>
  <si>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</si>
  <si>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</si>
  <si>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</si>
  <si>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</si>
  <si>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</si>
  <si>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</si>
  <si>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</si>
  <si>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</si>
  <si>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</si>
  <si>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</si>
  <si>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</si>
  <si>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</si>
  <si>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</si>
  <si>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</si>
  <si>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</si>
  <si>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</si>
  <si>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</si>
  <si>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</si>
  <si>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</si>
  <si>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</si>
  <si>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</si>
  <si>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</si>
  <si>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</si>
  <si>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</si>
  <si>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</si>
  <si>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</si>
  <si>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</si>
  <si>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</si>
  <si>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</si>
  <si>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</si>
  <si>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</si>
  <si>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</si>
  <si>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</si>
  <si>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</si>
  <si>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</si>
  <si>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</si>
  <si>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</si>
  <si>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</si>
  <si>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</si>
  <si>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</si>
  <si>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</si>
  <si>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</si>
  <si>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</si>
  <si>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</si>
  <si>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</si>
  <si>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</si>
  <si>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</si>
  <si>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</si>
  <si>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</si>
  <si>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</si>
  <si>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</si>
  <si>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</si>
  <si>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</si>
  <si>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</si>
  <si>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</si>
  <si>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</si>
  <si>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</si>
  <si>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</si>
  <si>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</si>
  <si>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</si>
  <si>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</si>
  <si>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</si>
  <si>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</si>
  <si>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</si>
  <si>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</si>
  <si>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</si>
  <si>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</si>
  <si>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</si>
  <si>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</si>
  <si>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</si>
  <si>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</si>
  <si>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</si>
  <si>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</si>
  <si>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</si>
  <si>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</si>
  <si>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</si>
  <si>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</si>
  <si>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</si>
  <si>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</si>
  <si>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</si>
  <si>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</si>
  <si>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</si>
  <si>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</si>
  <si>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</si>
  <si>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</si>
  <si>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</si>
  <si>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</si>
  <si>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</si>
  <si>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</si>
  <si>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</si>
  <si>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</si>
  <si>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</si>
  <si>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</si>
  <si>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</si>
  <si>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</si>
  <si>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</si>
  <si>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</si>
  <si>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</si>
  <si>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</si>
  <si>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</si>
  <si>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</si>
  <si>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</si>
  <si>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</si>
  <si>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</si>
  <si>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</si>
  <si>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</si>
  <si>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</si>
  <si>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</si>
  <si>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</si>
  <si>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</si>
  <si>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</si>
  <si>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</si>
  <si>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</si>
  <si>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</si>
  <si>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</si>
  <si>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</si>
  <si>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</si>
  <si>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</si>
  <si>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</si>
  <si>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</si>
  <si>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</si>
  <si>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</si>
  <si>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</si>
  <si>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</si>
  <si>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</si>
  <si>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</si>
  <si>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</si>
  <si>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</si>
  <si>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</si>
  <si>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</si>
  <si>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</si>
  <si>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</si>
  <si>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</si>
  <si>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</si>
  <si>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</si>
  <si>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</si>
  <si>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</si>
  <si>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</si>
  <si>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</si>
  <si>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</si>
  <si>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</si>
  <si>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</si>
  <si>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</si>
  <si>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</si>
  <si>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</si>
  <si>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</si>
  <si>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</si>
  <si>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</si>
  <si>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</si>
  <si>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</si>
  <si>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</si>
  <si>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</si>
  <si>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</si>
  <si>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</si>
  <si>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</si>
  <si>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</si>
  <si>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</si>
  <si>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</si>
  <si>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</si>
  <si>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</si>
  <si>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</si>
  <si>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</si>
  <si>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</si>
  <si>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</si>
  <si>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</si>
  <si>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</si>
  <si>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</si>
  <si>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</si>
  <si>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</si>
  <si>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</si>
  <si>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</si>
  <si>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</si>
  <si>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</si>
  <si>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</si>
  <si>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</si>
  <si>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</si>
  <si>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</si>
  <si>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</si>
  <si>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</si>
  <si>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</si>
  <si>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</si>
  <si>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</si>
  <si>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</si>
  <si>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</si>
  <si>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</si>
  <si>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</si>
  <si>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</si>
  <si>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</si>
  <si>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</si>
  <si>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</si>
  <si>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</si>
  <si>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</si>
  <si>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</si>
  <si>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</si>
  <si>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</si>
  <si>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</si>
  <si>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</si>
  <si>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</si>
  <si>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</si>
  <si>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</si>
  <si>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</si>
  <si>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</si>
  <si>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</si>
  <si>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</si>
  <si>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</si>
  <si>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</si>
  <si>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</si>
  <si>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</si>
  <si>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</si>
  <si>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</si>
  <si>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</si>
  <si>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</si>
  <si>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</si>
  <si>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</si>
  <si>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</si>
  <si>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</si>
  <si>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</si>
  <si>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</si>
  <si>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</si>
  <si>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</si>
  <si>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</si>
  <si>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</si>
  <si>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</si>
  <si>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</si>
  <si>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</si>
  <si>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</si>
  <si>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</si>
  <si>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</si>
  <si>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</si>
  <si>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</si>
  <si>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</si>
  <si>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</si>
  <si>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</si>
  <si>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</si>
  <si>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</si>
  <si>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</si>
  <si>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</si>
  <si>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</si>
  <si>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</si>
  <si>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</si>
  <si>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</si>
  <si>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</si>
  <si>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</si>
  <si>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</si>
  <si>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</si>
  <si>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</si>
  <si>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</si>
  <si>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</si>
  <si>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</si>
  <si>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</si>
  <si>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</si>
  <si>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</si>
  <si>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</si>
  <si>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</si>
  <si>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</si>
  <si>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</si>
  <si>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</si>
  <si>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</si>
  <si>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</si>
  <si>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</si>
  <si>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</si>
  <si>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</si>
  <si>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</si>
  <si>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</si>
  <si>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</si>
  <si>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</si>
  <si>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</si>
  <si>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</si>
  <si>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</si>
  <si>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</si>
  <si>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</si>
  <si>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</si>
  <si>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</si>
  <si>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</si>
  <si>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</si>
  <si>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</si>
  <si>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</si>
  <si>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</si>
  <si>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</si>
  <si>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</si>
  <si>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</si>
  <si>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</si>
  <si>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</si>
  <si>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</si>
  <si>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</si>
  <si>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</si>
  <si>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</si>
  <si>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</si>
  <si>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</si>
  <si>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</si>
  <si>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</si>
  <si>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</si>
  <si>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</si>
  <si>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</si>
  <si>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</si>
  <si>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</si>
  <si>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</si>
  <si>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</si>
  <si>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</si>
  <si>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</si>
  <si>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</si>
  <si>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</si>
  <si>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</si>
  <si>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</si>
  <si>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</si>
  <si>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</si>
  <si>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</si>
  <si>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</si>
  <si>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</si>
  <si>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</si>
  <si>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</si>
  <si>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</si>
  <si>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</si>
  <si>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</si>
  <si>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</si>
  <si>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</si>
  <si>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</si>
  <si>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</si>
  <si>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</si>
  <si>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</si>
  <si>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</si>
  <si>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</si>
  <si>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</si>
  <si>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</si>
  <si>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</si>
  <si>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</si>
  <si>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</si>
  <si>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</si>
  <si>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</si>
  <si>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</si>
  <si>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</si>
  <si>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</si>
  <si>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</si>
  <si>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</si>
  <si>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</si>
  <si>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</si>
  <si>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</si>
  <si>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</si>
  <si>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</si>
  <si>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</si>
  <si>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</si>
  <si>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</si>
  <si>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</si>
  <si>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</si>
  <si>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</si>
  <si>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</si>
  <si>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</si>
  <si>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</si>
  <si>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</si>
  <si>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</si>
  <si>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</si>
  <si>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</si>
  <si>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</si>
  <si>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</si>
  <si>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</si>
  <si>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</si>
  <si>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</si>
  <si>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</si>
  <si>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</si>
  <si>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</si>
  <si>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</si>
  <si>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</si>
  <si>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</si>
  <si>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</si>
  <si>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</si>
  <si>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</si>
  <si>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</si>
  <si>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</si>
  <si>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</si>
  <si>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</si>
  <si>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</si>
  <si>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</si>
  <si>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</si>
  <si>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</si>
  <si>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</si>
  <si>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</si>
  <si>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</si>
  <si>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</si>
  <si>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</si>
  <si>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</si>
  <si>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</si>
  <si>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</si>
  <si>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</si>
  <si>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</si>
  <si>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</si>
  <si>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</si>
  <si>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</si>
  <si>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</si>
  <si>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</si>
  <si>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</si>
  <si>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</si>
  <si>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</si>
  <si>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</si>
  <si>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</si>
  <si>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</si>
  <si>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</si>
  <si>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</si>
  <si>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</si>
  <si>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</si>
  <si>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</si>
  <si>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</si>
  <si>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</si>
  <si>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</si>
  <si>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</si>
  <si>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</si>
  <si>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</si>
  <si>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</si>
  <si>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</si>
  <si>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</si>
  <si>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</si>
  <si>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</si>
  <si>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</si>
  <si>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</si>
  <si>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</si>
  <si>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</si>
  <si>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</si>
  <si>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</si>
  <si>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</si>
  <si>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</si>
  <si>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</si>
  <si>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</si>
  <si>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</si>
  <si>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</si>
  <si>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</si>
  <si>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</si>
  <si>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</si>
  <si>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</si>
  <si>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</si>
  <si>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</si>
  <si>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</si>
  <si>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</si>
  <si>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</si>
  <si>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</si>
  <si>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</si>
  <si>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</si>
  <si>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</si>
  <si>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</si>
  <si>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</si>
  <si>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</si>
  <si>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</si>
  <si>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</si>
  <si>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</si>
  <si>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</si>
  <si>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</si>
  <si>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</si>
  <si>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</si>
  <si>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</si>
  <si>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</si>
  <si>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</si>
  <si>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</si>
  <si>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</si>
  <si>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</si>
  <si>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</si>
  <si>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</si>
  <si>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</si>
  <si>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</si>
  <si>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</si>
  <si>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</si>
  <si>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</si>
  <si>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</si>
  <si>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</si>
  <si>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</si>
  <si>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</si>
  <si>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</si>
  <si>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</si>
  <si>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</si>
  <si>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</si>
  <si>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</si>
  <si>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</si>
  <si>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</si>
  <si>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</si>
  <si>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</si>
  <si>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</si>
  <si>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</si>
  <si>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</si>
  <si>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</si>
  <si>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</si>
  <si>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</si>
  <si>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</si>
  <si>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</si>
  <si>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</si>
  <si>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</si>
  <si>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</si>
  <si>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</si>
  <si>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</si>
  <si>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</si>
  <si>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</si>
  <si>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</si>
  <si>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</si>
  <si>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</si>
  <si>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</si>
  <si>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</si>
  <si>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</si>
  <si>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</si>
  <si>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</si>
  <si>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</si>
  <si>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</si>
  <si>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</si>
  <si>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</si>
  <si>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</si>
  <si>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</si>
  <si>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</si>
  <si>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</si>
  <si>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</si>
  <si>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</si>
  <si>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</si>
  <si>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</si>
  <si>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</si>
  <si>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</si>
  <si>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</si>
  <si>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</si>
  <si>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</si>
  <si>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</si>
  <si>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</si>
  <si>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</si>
  <si>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</si>
  <si>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</si>
  <si>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</si>
  <si>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</si>
  <si>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</si>
  <si>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</si>
  <si>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</si>
  <si>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</si>
  <si>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</si>
  <si>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</si>
  <si>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</si>
  <si>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</si>
  <si>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</si>
  <si>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</si>
  <si>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</si>
  <si>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</si>
  <si>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</si>
  <si>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</si>
  <si>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</si>
  <si>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</si>
  <si>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</si>
  <si>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</si>
  <si>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</si>
  <si>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</si>
  <si>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</si>
  <si>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</si>
  <si>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</si>
  <si>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</si>
  <si>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</si>
  <si>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</si>
  <si>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</si>
  <si>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</si>
  <si>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</si>
  <si>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</si>
  <si>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</si>
  <si>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</si>
  <si>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</si>
  <si>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</si>
  <si>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</si>
  <si>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</si>
  <si>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</si>
  <si>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</si>
  <si>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</si>
  <si>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</si>
  <si>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</si>
  <si>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</si>
  <si>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</si>
  <si>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</si>
  <si>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</si>
  <si>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</si>
  <si>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</si>
  <si>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</si>
  <si>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</si>
  <si>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</si>
  <si>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</si>
  <si>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</si>
  <si>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</si>
  <si>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</si>
  <si>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</si>
  <si>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</si>
  <si>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</si>
  <si>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</si>
  <si>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</si>
  <si>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</si>
  <si>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</si>
  <si>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</si>
  <si>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</si>
  <si>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</si>
  <si>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</si>
  <si>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</si>
  <si>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</si>
  <si>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</si>
  <si>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</si>
  <si>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</si>
  <si>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</si>
  <si>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</si>
  <si>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</si>
  <si>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</si>
  <si>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</si>
  <si>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</si>
  <si>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</si>
  <si>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</si>
  <si>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</si>
  <si>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</si>
  <si>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</si>
  <si>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</si>
  <si>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</si>
  <si>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</si>
  <si>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</si>
  <si>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</si>
  <si>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</si>
  <si>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</si>
  <si>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</si>
  <si>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</si>
  <si>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</si>
  <si>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</si>
  <si>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</si>
  <si>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</si>
  <si>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</si>
  <si>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</si>
  <si>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</si>
  <si>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</si>
  <si>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</si>
  <si>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</si>
  <si>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</si>
  <si>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</si>
  <si>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</si>
  <si>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</si>
  <si>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</si>
  <si>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</si>
  <si>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</si>
  <si>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</si>
  <si>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</si>
  <si>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</si>
  <si>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</si>
  <si>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</si>
  <si>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</si>
  <si>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</si>
  <si>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</si>
  <si>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</si>
  <si>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</si>
  <si>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</si>
  <si>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</si>
  <si>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</si>
  <si>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</si>
  <si>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</si>
  <si>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</si>
  <si>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</si>
  <si>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</si>
  <si>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</si>
  <si>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</si>
  <si>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</si>
  <si>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</si>
  <si>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</si>
  <si>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</si>
  <si>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</si>
  <si>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</si>
  <si>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</si>
  <si>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</si>
  <si>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</si>
  <si>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</si>
  <si>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</si>
  <si>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</si>
  <si>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</si>
  <si>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</si>
  <si>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</si>
  <si>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</si>
  <si>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</si>
  <si>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</si>
  <si>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</si>
  <si>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</si>
  <si>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</si>
  <si>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</si>
  <si>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</si>
  <si>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</si>
  <si>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</si>
  <si>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</si>
  <si>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</si>
  <si>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</si>
  <si>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</si>
  <si>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</si>
  <si>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</si>
  <si>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</si>
  <si>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</si>
  <si>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</si>
  <si>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</si>
  <si>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</si>
  <si>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</si>
  <si>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</si>
  <si>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</si>
  <si>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</si>
  <si>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</si>
  <si>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</si>
  <si>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</si>
  <si>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</si>
  <si>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</si>
  <si>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</si>
  <si>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</si>
  <si>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</si>
  <si>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</si>
  <si>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</si>
  <si>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</si>
  <si>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</si>
  <si>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</si>
  <si>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</si>
  <si>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</si>
  <si>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</si>
  <si>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</si>
  <si>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</si>
  <si>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</si>
  <si>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</si>
  <si>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</si>
  <si>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</si>
  <si>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</si>
  <si>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</si>
  <si>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</si>
  <si>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</si>
  <si>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</si>
  <si>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</si>
  <si>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</si>
  <si>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</si>
  <si>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</si>
  <si>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</si>
  <si>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</si>
  <si>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</si>
  <si>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</si>
  <si>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</si>
  <si>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</si>
  <si>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</si>
  <si>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</si>
  <si>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</si>
  <si>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</si>
  <si>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</si>
  <si>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</si>
  <si>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</si>
  <si>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</si>
  <si>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</si>
  <si>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</si>
  <si>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</si>
  <si>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</si>
  <si>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</si>
  <si>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</si>
  <si>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</si>
  <si>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</si>
  <si>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</si>
  <si>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</si>
  <si>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</si>
  <si>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</si>
  <si>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</si>
  <si>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</si>
  <si>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</si>
  <si>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</si>
  <si>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</si>
  <si>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</si>
  <si>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</si>
  <si>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</si>
  <si>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</si>
  <si>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</si>
  <si>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</si>
  <si>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</si>
  <si>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</si>
  <si>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</si>
  <si>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</si>
  <si>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</si>
  <si>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</si>
  <si>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</si>
  <si>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</si>
  <si>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</si>
  <si>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</si>
  <si>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</si>
  <si>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</si>
  <si>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</si>
  <si>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</si>
  <si>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</si>
  <si>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</si>
  <si>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</si>
  <si>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</si>
  <si>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</si>
  <si>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</si>
  <si>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</si>
  <si>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</si>
  <si>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</si>
  <si>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</si>
  <si>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</si>
  <si>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</si>
  <si>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</si>
  <si>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</si>
  <si>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</si>
  <si>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</si>
  <si>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</si>
  <si>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</si>
  <si>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</si>
  <si>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</si>
  <si>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</si>
  <si>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</si>
  <si>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</si>
  <si>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</si>
  <si>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</si>
  <si>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</si>
  <si>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</si>
  <si>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</si>
  <si>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</si>
  <si>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</si>
  <si>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</si>
  <si>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</si>
  <si>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</si>
  <si>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</si>
  <si>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</si>
  <si>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</si>
  <si>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</si>
  <si>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</si>
  <si>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</si>
  <si>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</si>
  <si>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</si>
  <si>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</si>
  <si>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</si>
  <si>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</si>
  <si>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</si>
  <si>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</si>
  <si>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</si>
  <si>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</si>
  <si>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</si>
  <si>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</si>
  <si>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</si>
  <si>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</si>
  <si>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</si>
  <si>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</si>
  <si>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</si>
  <si>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</si>
  <si>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</si>
  <si>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</si>
  <si>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</si>
  <si>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</si>
  <si>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</si>
  <si>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</si>
  <si>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</si>
  <si>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</si>
  <si>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</si>
  <si>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</si>
  <si>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</si>
  <si>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</si>
  <si>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</si>
  <si>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</si>
  <si>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</si>
  <si>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</si>
  <si>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</si>
  <si>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</si>
  <si>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</si>
  <si>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</si>
  <si>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</si>
  <si>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</si>
  <si>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</si>
  <si>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</si>
  <si>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</si>
  <si>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</si>
  <si>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</si>
  <si>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</si>
  <si>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</si>
  <si>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</si>
  <si>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</si>
  <si>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</si>
  <si>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</si>
  <si>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</si>
  <si>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</si>
  <si>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</si>
  <si>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</si>
  <si>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</si>
  <si>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</si>
  <si>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</si>
  <si>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</si>
  <si>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</si>
  <si>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</si>
  <si>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</si>
  <si>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</si>
  <si>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</si>
  <si>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</si>
  <si>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</si>
  <si>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</si>
  <si>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</si>
  <si>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</si>
  <si>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</si>
  <si>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</si>
  <si>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</si>
  <si>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</si>
  <si>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</si>
  <si>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</si>
  <si>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</si>
  <si>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</si>
  <si>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</si>
  <si>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</si>
  <si>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</si>
  <si>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</si>
  <si>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</si>
  <si>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</si>
  <si>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</si>
  <si>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</si>
  <si>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</si>
  <si>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</si>
  <si>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</si>
  <si>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</si>
  <si>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</si>
  <si>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</si>
  <si>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</si>
  <si>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</si>
  <si>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</si>
  <si>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</si>
  <si>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</si>
  <si>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</si>
  <si>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</si>
  <si>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</si>
  <si>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</si>
  <si>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</si>
  <si>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</si>
  <si>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</si>
  <si>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</si>
  <si>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</si>
  <si>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</si>
  <si>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</si>
  <si>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</si>
  <si>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</si>
  <si>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</si>
  <si>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</si>
  <si>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</si>
  <si>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</si>
  <si>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</si>
  <si>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</si>
  <si>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</si>
  <si>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</si>
  <si>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</si>
  <si>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</si>
  <si>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</si>
  <si>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</si>
  <si>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</si>
  <si>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</si>
  <si>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</si>
  <si>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</si>
  <si>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</si>
  <si>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</si>
  <si>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</si>
  <si>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</si>
  <si>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</si>
  <si>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</si>
  <si>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</si>
  <si>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</si>
  <si>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</si>
  <si>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</si>
  <si>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</si>
  <si>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</si>
  <si>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</si>
  <si>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</si>
  <si>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</si>
  <si>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</si>
  <si>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</si>
  <si>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</si>
  <si>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</si>
  <si>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</si>
  <si>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</si>
  <si>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</si>
  <si>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</si>
  <si>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</si>
  <si>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</si>
  <si>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</si>
  <si>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</si>
  <si>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</si>
  <si>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</si>
  <si>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</si>
  <si>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</si>
  <si>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</si>
  <si>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</si>
  <si>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</si>
  <si>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</si>
  <si>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</si>
  <si>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</si>
  <si>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</si>
  <si>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</si>
  <si>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</si>
  <si>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</si>
  <si>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</si>
  <si>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</si>
  <si>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</si>
  <si>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</si>
  <si>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</si>
  <si>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</si>
  <si>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</si>
  <si>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</si>
  <si>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</si>
  <si>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</si>
  <si>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</si>
  <si>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</si>
  <si>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</si>
  <si>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</si>
  <si>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</si>
  <si>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</si>
  <si>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</si>
  <si>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</si>
  <si>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</si>
  <si>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</si>
  <si>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</si>
  <si>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</si>
  <si>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</si>
  <si>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</si>
  <si>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</si>
  <si>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</si>
  <si>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</si>
  <si>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</si>
  <si>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</si>
  <si>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</si>
  <si>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</si>
  <si>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</si>
  <si>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</si>
  <si>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</si>
  <si>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</si>
  <si>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</si>
  <si>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</si>
  <si>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</si>
  <si>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</si>
  <si>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</si>
  <si>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</si>
  <si>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</si>
  <si>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</si>
  <si>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</si>
  <si>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</si>
  <si>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</si>
  <si>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</si>
  <si>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</si>
  <si>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</si>
  <si>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</si>
  <si>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</si>
  <si>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</si>
  <si>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</si>
  <si>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</si>
  <si>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</si>
  <si>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</si>
  <si>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</si>
  <si>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</si>
  <si>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</si>
  <si>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</si>
  <si>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</si>
  <si>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</si>
  <si>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</si>
  <si>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</si>
  <si>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</si>
  <si>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</si>
  <si>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</si>
  <si>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</si>
  <si>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</si>
  <si>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</si>
  <si>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</si>
  <si>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</si>
  <si>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</si>
  <si>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</si>
  <si>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</si>
  <si>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</si>
  <si>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</si>
  <si>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</si>
  <si>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</si>
  <si>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</si>
  <si>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</si>
  <si>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</si>
  <si>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</si>
  <si>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</si>
  <si>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</si>
  <si>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</si>
  <si>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</si>
  <si>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</si>
  <si>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</si>
  <si>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</si>
  <si>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</si>
  <si>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</si>
  <si>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</si>
  <si>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</si>
  <si>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</si>
  <si>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</si>
  <si>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</si>
  <si>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</si>
  <si>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</si>
  <si>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</si>
  <si>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</si>
  <si>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</si>
  <si>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</si>
  <si>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</si>
  <si>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</si>
  <si>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</si>
  <si>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</si>
  <si>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</si>
  <si>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</si>
  <si>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</si>
  <si>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</si>
  <si>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</si>
  <si>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</si>
  <si>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</si>
  <si>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</si>
  <si>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</si>
  <si>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</si>
  <si>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</si>
  <si>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</si>
  <si>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</si>
  <si>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</si>
  <si>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</si>
  <si>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</si>
  <si>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</si>
  <si>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</si>
  <si>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</si>
  <si>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</si>
  <si>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</si>
  <si>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</si>
  <si>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</si>
  <si>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</si>
  <si>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</si>
  <si>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</si>
  <si>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</si>
  <si>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</si>
  <si>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</si>
  <si>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</si>
  <si>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</si>
  <si>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</si>
  <si>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</si>
  <si>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</si>
  <si>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</si>
  <si>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</si>
  <si>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</si>
  <si>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</si>
  <si>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</si>
  <si>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</si>
  <si>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</si>
  <si>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</si>
  <si>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</si>
  <si>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</si>
  <si>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</si>
  <si>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</si>
  <si>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</si>
  <si>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</si>
  <si>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</si>
  <si>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</si>
  <si>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</si>
  <si>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</si>
  <si>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</si>
  <si>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</si>
  <si>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</si>
  <si>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</si>
  <si>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</si>
  <si>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</si>
  <si>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</si>
  <si>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</si>
  <si>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</si>
  <si>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</si>
  <si>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</si>
  <si>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</si>
  <si>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</si>
  <si>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</si>
  <si>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</si>
  <si>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</si>
  <si>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</si>
  <si>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</si>
  <si>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</si>
  <si>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</si>
  <si>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</si>
  <si>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</si>
  <si>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</si>
  <si>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</si>
  <si>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</si>
  <si>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</si>
  <si>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</si>
  <si>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</si>
  <si>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</si>
  <si>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</si>
  <si>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</si>
  <si>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</si>
  <si>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</si>
  <si>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</si>
  <si>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</si>
  <si>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</si>
  <si>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</si>
  <si>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</si>
  <si>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</si>
  <si>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</si>
  <si>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</si>
  <si>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</si>
  <si>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</si>
  <si>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</si>
  <si>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</si>
  <si>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</si>
  <si>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</si>
  <si>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</si>
  <si>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</si>
  <si>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</si>
  <si>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</si>
  <si>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</si>
  <si>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</si>
  <si>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</si>
  <si>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</si>
  <si>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</si>
  <si>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</si>
  <si>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</si>
  <si>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</si>
  <si>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</si>
  <si>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</si>
  <si>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</si>
  <si>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</si>
  <si>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</si>
  <si>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</si>
  <si>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</si>
  <si>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</si>
  <si>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</si>
  <si>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</si>
  <si>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</si>
  <si>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</si>
  <si>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</si>
  <si>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</si>
  <si>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</si>
  <si>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</si>
  <si>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</si>
  <si>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</si>
  <si>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</si>
  <si>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</si>
  <si>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</si>
  <si>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</si>
  <si>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</si>
  <si>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</si>
  <si>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</si>
  <si>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</si>
  <si>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</si>
  <si>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</si>
  <si>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</si>
  <si>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</si>
  <si>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</si>
  <si>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</si>
  <si>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</si>
  <si>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</si>
  <si>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</si>
  <si>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</si>
  <si>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</si>
  <si>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</si>
  <si>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</si>
  <si>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</si>
  <si>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</si>
  <si>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</si>
  <si>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</si>
  <si>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</si>
  <si>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</si>
  <si>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</si>
  <si>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</si>
  <si>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</si>
  <si>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</si>
  <si>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</si>
  <si>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</si>
  <si>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</si>
  <si>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</si>
  <si>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</si>
  <si>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</si>
  <si>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</si>
  <si>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</si>
  <si>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</si>
  <si>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</si>
  <si>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</si>
  <si>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</si>
  <si>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</si>
  <si>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</si>
  <si>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</si>
  <si>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</si>
  <si>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</si>
  <si>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</si>
  <si>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</si>
  <si>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</si>
  <si>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</si>
  <si>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</si>
  <si>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</si>
  <si>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</si>
  <si>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</si>
  <si>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</si>
  <si>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</si>
  <si>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</si>
  <si>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</si>
  <si>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</si>
  <si>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</si>
  <si>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</si>
  <si>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</si>
  <si>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</si>
  <si>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</si>
  <si>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</si>
  <si>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</si>
  <si>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</si>
  <si>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</si>
  <si>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</si>
  <si>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</si>
  <si>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</si>
  <si>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</si>
  <si>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</si>
  <si>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</si>
  <si>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</si>
  <si>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</si>
  <si>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</si>
  <si>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</si>
  <si>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</si>
  <si>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</si>
  <si>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</si>
  <si>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</si>
  <si>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</si>
  <si>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</si>
  <si>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</si>
  <si>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</si>
  <si>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</si>
  <si>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</si>
  <si>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</si>
  <si>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</si>
  <si>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</si>
  <si>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</si>
  <si>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</si>
  <si>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</si>
  <si>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</si>
  <si>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</si>
  <si>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</si>
  <si>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</si>
  <si>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</si>
  <si>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</si>
  <si>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</si>
  <si>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</si>
  <si>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</si>
  <si>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</si>
  <si>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</si>
  <si>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</si>
  <si>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</si>
  <si>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</si>
  <si>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</si>
  <si>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</si>
  <si>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</si>
  <si>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</si>
  <si>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</si>
  <si>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</si>
  <si>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</si>
  <si>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</si>
  <si>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</si>
  <si>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</si>
  <si>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</si>
  <si>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</si>
  <si>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</si>
  <si>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</si>
  <si>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</si>
  <si>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</si>
  <si>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</si>
  <si>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</si>
  <si>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</si>
  <si>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</si>
  <si>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</si>
  <si>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</si>
  <si>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</si>
  <si>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</si>
  <si>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</si>
  <si>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</si>
  <si>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</si>
  <si>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</si>
  <si>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</si>
  <si>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</si>
  <si>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</si>
  <si>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</si>
  <si>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</si>
  <si>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</si>
  <si>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</si>
  <si>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</si>
  <si>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</si>
  <si>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</si>
  <si>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</si>
  <si>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</si>
  <si>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</si>
  <si>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</si>
  <si>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</si>
  <si>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</si>
  <si>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</si>
  <si>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</si>
  <si>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</si>
  <si>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</si>
  <si>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</si>
  <si>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</si>
  <si>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</si>
  <si>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</si>
  <si>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</si>
  <si>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</si>
  <si>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</si>
  <si>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</si>
  <si>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</si>
  <si>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</si>
  <si>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</si>
  <si>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</si>
  <si>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</si>
  <si>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</si>
  <si>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</si>
  <si>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</si>
  <si>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</si>
  <si>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</si>
  <si>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</si>
  <si>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</si>
  <si>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</si>
  <si>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</si>
  <si>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</si>
  <si>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</si>
  <si>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</si>
  <si>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</si>
  <si>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</si>
  <si>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</si>
  <si>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</si>
  <si>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</si>
  <si>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</si>
  <si>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</si>
  <si>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</si>
  <si>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</si>
  <si>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</si>
  <si>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</si>
  <si>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</si>
  <si>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</si>
  <si>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</si>
  <si>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</si>
  <si>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</si>
  <si>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</si>
  <si>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</si>
  <si>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</si>
  <si>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</si>
  <si>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</si>
  <si>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</si>
  <si>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</si>
  <si>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</si>
  <si>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</si>
  <si>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</si>
  <si>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</si>
  <si>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</si>
  <si>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</si>
  <si>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</si>
  <si>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</si>
  <si>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</si>
  <si>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</si>
  <si>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</si>
  <si>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</si>
  <si>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</si>
  <si>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</si>
  <si>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</si>
  <si>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</si>
  <si>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</si>
  <si>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</si>
  <si>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</si>
  <si>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</si>
  <si>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</si>
  <si>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</si>
  <si>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</si>
  <si>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</si>
  <si>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</si>
  <si>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</si>
  <si>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</si>
  <si>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</si>
  <si>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</si>
  <si>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</si>
  <si>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</si>
  <si>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</si>
  <si>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</si>
  <si>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</si>
  <si>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</si>
  <si>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</si>
  <si>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</si>
  <si>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</si>
  <si>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</si>
  <si>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</si>
  <si>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</si>
  <si>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</si>
  <si>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</si>
  <si>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</si>
  <si>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</si>
  <si>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</si>
  <si>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</si>
  <si>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</si>
  <si>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</si>
  <si>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</si>
  <si>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</si>
  <si>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</si>
  <si>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</si>
  <si>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</si>
  <si>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</si>
  <si>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</si>
  <si>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</si>
  <si>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</si>
  <si>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</si>
  <si>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</si>
  <si>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</si>
  <si>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</si>
  <si>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</si>
  <si>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</si>
  <si>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</si>
  <si>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</si>
  <si>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</si>
  <si>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</si>
  <si>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</si>
  <si>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</si>
  <si>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</si>
  <si>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</si>
  <si>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</si>
  <si>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</si>
  <si>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</si>
  <si>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</si>
  <si>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</si>
  <si>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</si>
  <si>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</si>
  <si>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</si>
  <si>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</si>
  <si>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</si>
  <si>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</si>
  <si>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</si>
  <si>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</si>
  <si>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</si>
  <si>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</si>
  <si>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</si>
  <si>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</si>
  <si>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</si>
  <si>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</si>
  <si>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</si>
  <si>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</si>
  <si>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</si>
  <si>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</si>
  <si>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</si>
  <si>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</si>
  <si>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</si>
  <si>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</si>
  <si>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</si>
  <si>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</si>
  <si>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</si>
  <si>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</si>
  <si>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</si>
  <si>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</si>
  <si>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</si>
  <si>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</si>
  <si>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</si>
  <si>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</si>
  <si>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</si>
  <si>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</si>
  <si>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</si>
  <si>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</si>
  <si>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</si>
  <si>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</si>
  <si>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</si>
  <si>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</si>
  <si>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</si>
  <si>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</si>
  <si>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</si>
  <si>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</si>
  <si>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</si>
  <si>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</si>
  <si>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</si>
  <si>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</si>
  <si>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</si>
  <si>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</si>
  <si>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</si>
  <si>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</si>
  <si>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</si>
  <si>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</si>
  <si>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</si>
  <si>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</si>
  <si>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</si>
  <si>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</si>
  <si>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</si>
  <si>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</si>
  <si>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</si>
  <si>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</si>
  <si>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</si>
  <si>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</si>
  <si>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</si>
  <si>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</si>
  <si>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</si>
  <si>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</si>
  <si>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</si>
  <si>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</si>
  <si>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</si>
  <si>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</si>
  <si>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</si>
  <si>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</si>
  <si>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</si>
  <si>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</si>
  <si>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</si>
  <si>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</si>
  <si>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</si>
  <si>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</si>
  <si>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</si>
  <si>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</si>
  <si>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</si>
  <si>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</si>
  <si>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</si>
  <si>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</si>
  <si>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</si>
  <si>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</si>
  <si>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</si>
  <si>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</si>
  <si>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</si>
  <si>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</si>
  <si>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</si>
  <si>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</si>
  <si>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</si>
  <si>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</si>
  <si>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</si>
  <si>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</si>
  <si>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</si>
  <si>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</si>
  <si>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</si>
  <si>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</si>
  <si>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</si>
  <si>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</si>
  <si>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</si>
  <si>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</si>
  <si>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</si>
  <si>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</si>
  <si>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</si>
  <si>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</si>
  <si>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</si>
  <si>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</si>
  <si>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</si>
  <si>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</si>
  <si>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</si>
  <si>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</si>
  <si>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</si>
  <si>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</si>
  <si>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</si>
  <si>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</si>
  <si>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</si>
  <si>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</si>
  <si>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</si>
  <si>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</si>
  <si>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</si>
  <si>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</si>
  <si>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</si>
  <si>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</si>
  <si>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</si>
  <si>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</si>
  <si>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</si>
  <si>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</si>
  <si>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</si>
  <si>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</si>
  <si>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</si>
  <si>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</si>
  <si>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</si>
  <si>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</si>
  <si>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</si>
  <si>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</si>
  <si>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</si>
  <si>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</si>
  <si>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</si>
  <si>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</si>
  <si>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</si>
  <si>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</si>
  <si>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</si>
  <si>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</si>
  <si>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</si>
  <si>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</si>
  <si>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</si>
  <si>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</si>
  <si>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</si>
  <si>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</si>
  <si>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</si>
  <si>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</si>
  <si>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</si>
  <si>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</si>
  <si>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</si>
  <si>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</si>
  <si>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</si>
  <si>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</si>
  <si>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</si>
  <si>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</si>
  <si>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</si>
  <si>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</si>
  <si>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</si>
  <si>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</si>
  <si>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</si>
  <si>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</si>
  <si>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</si>
  <si>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</si>
  <si>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</si>
  <si>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</si>
  <si>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</si>
  <si>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</si>
  <si>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</si>
  <si>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</si>
  <si>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</si>
  <si>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</si>
  <si>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</si>
  <si>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</si>
  <si>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</si>
  <si>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</si>
  <si>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</si>
  <si>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</si>
  <si>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</si>
  <si>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</si>
  <si>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</si>
  <si>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</si>
  <si>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</si>
  <si>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</si>
  <si>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</si>
  <si>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</si>
  <si>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</si>
  <si>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</si>
  <si>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</si>
  <si>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</si>
  <si>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</si>
  <si>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</si>
  <si>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</si>
  <si>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</si>
  <si>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</si>
  <si>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</si>
  <si>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</si>
  <si>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</si>
  <si>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</si>
  <si>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</si>
  <si>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</si>
  <si>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</si>
  <si>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</si>
  <si>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</si>
  <si>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</si>
  <si>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</si>
  <si>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</si>
  <si>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</si>
  <si>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</si>
  <si>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</si>
  <si>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</si>
  <si>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</si>
  <si>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</si>
  <si>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</si>
  <si>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</si>
  <si>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</si>
  <si>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</si>
  <si>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</si>
  <si>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</si>
  <si>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</si>
  <si>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</si>
  <si>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</si>
  <si>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</si>
  <si>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</si>
  <si>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</si>
  <si>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</si>
  <si>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</si>
  <si>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</si>
  <si>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</si>
  <si>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</si>
  <si>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</si>
  <si>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</si>
  <si>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</si>
  <si>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</si>
  <si>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</si>
  <si>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</si>
  <si>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</si>
  <si>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</si>
  <si>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</si>
  <si>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</si>
  <si>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</si>
  <si>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</si>
  <si>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</si>
  <si>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</si>
  <si>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</si>
  <si>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</si>
  <si>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</si>
  <si>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</si>
  <si>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</si>
  <si>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</si>
  <si>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</si>
  <si>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</si>
  <si>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</si>
  <si>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</si>
  <si>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</si>
  <si>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</si>
  <si>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</si>
  <si>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</si>
  <si>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</si>
  <si>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</si>
  <si>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</si>
  <si>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</si>
  <si>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</si>
  <si>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</si>
  <si>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</si>
  <si>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</si>
  <si>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</si>
  <si>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</si>
  <si>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</si>
  <si>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</si>
  <si>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</si>
  <si>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</si>
  <si>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</si>
  <si>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</si>
  <si>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</si>
  <si>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</si>
  <si>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</si>
  <si>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</si>
  <si>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</si>
  <si>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</si>
  <si>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</si>
  <si>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</si>
  <si>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</si>
  <si>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</si>
  <si>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</si>
  <si>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</si>
  <si>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</si>
  <si>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</si>
  <si>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</si>
  <si>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</si>
  <si>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</si>
  <si>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</si>
  <si>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</si>
  <si>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</si>
  <si>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</si>
  <si>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</si>
  <si>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</si>
  <si>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</si>
  <si>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</si>
  <si>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</si>
  <si>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</si>
  <si>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</si>
  <si>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</si>
  <si>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</si>
  <si>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</si>
  <si>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</si>
  <si>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</si>
  <si>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</si>
  <si>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</si>
  <si>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</si>
  <si>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</si>
  <si>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</si>
  <si>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</si>
  <si>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</si>
  <si>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</si>
  <si>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</si>
  <si>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</si>
  <si>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</si>
  <si>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</si>
  <si>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</si>
  <si>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</si>
  <si>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</si>
  <si>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</si>
  <si>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</si>
  <si>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</si>
  <si>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</si>
  <si>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</si>
  <si>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</si>
  <si>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</si>
  <si>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</si>
  <si>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</si>
  <si>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</si>
  <si>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</si>
  <si>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</si>
  <si>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</si>
  <si>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</si>
  <si>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</si>
  <si>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</si>
  <si>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</si>
  <si>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</si>
  <si>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</si>
  <si>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</si>
  <si>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</si>
  <si>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</si>
  <si>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</si>
  <si>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</si>
  <si>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</si>
  <si>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</si>
  <si>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</si>
  <si>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</si>
  <si>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</si>
  <si>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</si>
  <si>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</si>
  <si>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</si>
  <si>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</si>
  <si>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</si>
  <si>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</si>
  <si>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</si>
  <si>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</si>
  <si>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</si>
  <si>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</si>
  <si>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</si>
  <si>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</si>
  <si>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</si>
  <si>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</si>
  <si>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</si>
  <si>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</si>
  <si>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</si>
  <si>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</si>
  <si>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</si>
  <si>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</si>
  <si>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</si>
  <si>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</si>
  <si>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</si>
  <si>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</si>
  <si>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</si>
  <si>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</si>
  <si>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</si>
  <si>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</si>
  <si>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</si>
  <si>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</si>
  <si>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</si>
  <si>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</si>
  <si>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</si>
  <si>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</si>
  <si>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</si>
  <si>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</si>
  <si>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</si>
  <si>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</si>
  <si>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</si>
  <si>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</si>
  <si>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</si>
  <si>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</si>
  <si>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</si>
  <si>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</si>
  <si>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</si>
  <si>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</si>
  <si>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</si>
  <si>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</si>
  <si>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</si>
  <si>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</si>
  <si>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</si>
  <si>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</si>
  <si>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</si>
  <si>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</si>
  <si>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</si>
  <si>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</si>
  <si>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</si>
  <si>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</si>
  <si>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</si>
  <si>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</si>
  <si>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</si>
  <si>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</si>
  <si>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</si>
  <si>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</si>
  <si>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</si>
  <si>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</si>
  <si>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</si>
  <si>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</si>
  <si>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</si>
  <si>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</si>
  <si>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</si>
  <si>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</si>
  <si>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</si>
  <si>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</si>
  <si>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</si>
  <si>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</si>
  <si>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</si>
  <si>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</si>
  <si>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</si>
  <si>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</si>
  <si>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</si>
  <si>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</si>
  <si>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</si>
  <si>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</si>
  <si>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</si>
  <si>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</si>
  <si>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</si>
  <si>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</si>
  <si>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</si>
  <si>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</si>
  <si>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</si>
  <si>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</si>
  <si>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</si>
  <si>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</si>
  <si>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</si>
  <si>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</si>
  <si>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</si>
  <si>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</si>
  <si>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</si>
  <si>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</si>
  <si>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</si>
  <si>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</si>
  <si>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</si>
  <si>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</si>
  <si>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</si>
  <si>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</si>
  <si>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</si>
  <si>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</si>
  <si>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</si>
  <si>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</si>
  <si>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</si>
  <si>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</si>
  <si>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</si>
  <si>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</si>
  <si>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</si>
  <si>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</si>
  <si>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</si>
  <si>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</si>
  <si>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</si>
  <si>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</si>
  <si>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</si>
  <si>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</si>
  <si>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</si>
  <si>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</si>
  <si>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</si>
  <si>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</si>
  <si>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</si>
  <si>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</si>
  <si>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</si>
  <si>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</si>
  <si>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</si>
  <si>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</si>
  <si>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</si>
  <si>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</si>
  <si>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</si>
  <si>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</si>
  <si>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</si>
  <si>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</si>
  <si>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</si>
  <si>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</si>
  <si>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</si>
  <si>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</si>
  <si>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</si>
  <si>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</si>
  <si>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</si>
  <si>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</si>
  <si>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</si>
  <si>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</si>
  <si>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</si>
  <si>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</si>
  <si>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</si>
  <si>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</si>
  <si>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</si>
  <si>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</si>
  <si>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</si>
  <si>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</si>
  <si>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</si>
  <si>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</si>
  <si>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</si>
  <si>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</si>
  <si>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</si>
  <si>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</si>
  <si>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</si>
  <si>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</si>
  <si>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</si>
  <si>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</si>
  <si>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</si>
  <si>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</si>
  <si>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</si>
  <si>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</si>
  <si>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</si>
  <si>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</si>
  <si>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</si>
  <si>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</si>
  <si>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</si>
  <si>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</si>
  <si>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</si>
  <si>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</si>
  <si>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</si>
  <si>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</si>
  <si>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</si>
  <si>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</si>
  <si>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</si>
  <si>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</si>
  <si>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</si>
  <si>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</si>
  <si>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</si>
  <si>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</si>
  <si>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</si>
  <si>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</si>
  <si>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</si>
  <si>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</si>
  <si>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</si>
  <si>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</si>
  <si>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</si>
  <si>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</si>
  <si>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</si>
  <si>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</si>
  <si>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</si>
  <si>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</si>
  <si>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</si>
  <si>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</si>
  <si>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</si>
  <si>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</si>
  <si>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</si>
  <si>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</si>
  <si>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</si>
  <si>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</si>
  <si>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</si>
  <si>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</si>
  <si>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</si>
  <si>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</si>
  <si>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</si>
  <si>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</si>
  <si>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</si>
  <si>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</si>
  <si>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</si>
  <si>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</si>
  <si>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</si>
  <si>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</si>
  <si>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</si>
  <si>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</si>
  <si>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</si>
  <si>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</si>
  <si>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</si>
  <si>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</si>
  <si>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</si>
  <si>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</si>
  <si>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</si>
  <si>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</si>
  <si>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</si>
  <si>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</si>
  <si>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</si>
  <si>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</si>
  <si>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</si>
  <si>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</si>
  <si>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</si>
  <si>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</si>
  <si>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</si>
  <si>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</si>
  <si>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</si>
  <si>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</si>
  <si>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</si>
  <si>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</si>
  <si>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</si>
  <si>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</si>
  <si>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</si>
  <si>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</si>
  <si>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</si>
  <si>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</si>
  <si>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</si>
  <si>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</si>
  <si>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</si>
  <si>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</si>
  <si>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</si>
  <si>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</si>
  <si>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</si>
  <si>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</si>
  <si>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</si>
  <si>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</si>
  <si>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</si>
  <si>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</si>
  <si>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</si>
  <si>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</si>
  <si>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</si>
  <si>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</si>
  <si>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</si>
  <si>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</si>
  <si>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</si>
  <si>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</si>
  <si>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</si>
  <si>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</si>
  <si>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</si>
  <si>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</si>
  <si>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</si>
  <si>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</si>
  <si>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</si>
  <si>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</si>
  <si>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</si>
  <si>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</si>
  <si>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</si>
  <si>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</si>
  <si>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</si>
  <si>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</si>
  <si>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</si>
  <si>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</si>
  <si>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</si>
  <si>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</si>
  <si>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</si>
  <si>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</si>
  <si>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</si>
  <si>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</si>
  <si>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</si>
  <si>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</si>
  <si>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</si>
  <si>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</si>
  <si>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</si>
  <si>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</si>
  <si>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</si>
  <si>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</si>
  <si>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</si>
  <si>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</si>
  <si>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</si>
  <si>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</si>
  <si>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</si>
  <si>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</si>
  <si>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</si>
  <si>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</si>
  <si>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</si>
  <si>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</si>
  <si>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</si>
  <si>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</si>
  <si>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</si>
  <si>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</si>
  <si>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</si>
  <si>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</si>
  <si>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</si>
  <si>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</si>
  <si>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</si>
  <si>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</si>
  <si>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</si>
  <si>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</si>
  <si>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</si>
  <si>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</si>
  <si>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</si>
  <si>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</si>
  <si>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</si>
  <si>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</si>
  <si>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</si>
  <si>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</si>
  <si>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</si>
  <si>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</si>
  <si>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</si>
  <si>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</si>
  <si>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</si>
  <si>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</si>
  <si>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</si>
  <si>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</si>
  <si>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</si>
  <si>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</si>
  <si>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</si>
  <si>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</si>
  <si>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</si>
  <si>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</si>
  <si>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</si>
  <si>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</si>
  <si>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</si>
  <si>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</si>
  <si>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</si>
  <si>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</si>
  <si>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</si>
  <si>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</si>
  <si>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</si>
  <si>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</si>
  <si>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</si>
  <si>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</si>
  <si>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</si>
  <si>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</si>
  <si>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</si>
  <si>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</si>
  <si>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</si>
  <si>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</si>
  <si>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</si>
  <si>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</si>
  <si>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</si>
  <si>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</si>
  <si>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</si>
  <si>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</si>
  <si>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</si>
  <si>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</si>
  <si>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</si>
  <si>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</si>
  <si>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</si>
  <si>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</si>
  <si>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</si>
  <si>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</si>
  <si>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</si>
  <si>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</si>
  <si>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</si>
  <si>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</si>
  <si>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</si>
  <si>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</si>
  <si>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</si>
  <si>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</si>
  <si>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</si>
  <si>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</si>
  <si>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</si>
  <si>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</si>
  <si>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</si>
  <si>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</si>
  <si>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</si>
  <si>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</si>
  <si>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</si>
  <si>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</si>
  <si>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</si>
  <si>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</si>
  <si>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</si>
  <si>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</si>
  <si>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</si>
  <si>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</si>
  <si>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</si>
  <si>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</si>
  <si>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</si>
  <si>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</si>
  <si>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</si>
  <si>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</si>
  <si>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</si>
  <si>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</si>
  <si>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</si>
  <si>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</si>
  <si>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</si>
  <si>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</si>
  <si>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</si>
  <si>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</si>
  <si>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</si>
  <si>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</si>
  <si>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</si>
  <si>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</si>
  <si>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</si>
  <si>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</si>
  <si>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</si>
  <si>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</si>
  <si>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</si>
  <si>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</si>
  <si>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</si>
  <si>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</si>
  <si>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</si>
  <si>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</si>
  <si>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</si>
  <si>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</si>
  <si>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</si>
  <si>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</si>
  <si>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</si>
  <si>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</si>
  <si>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</si>
  <si>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</si>
  <si>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</si>
  <si>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</si>
  <si>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</si>
  <si>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</si>
  <si>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</si>
  <si>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</si>
  <si>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</si>
  <si>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</si>
  <si>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</si>
  <si>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</si>
  <si>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</si>
  <si>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</si>
  <si>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</si>
  <si>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</si>
  <si>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</si>
  <si>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</si>
  <si>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</si>
  <si>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</si>
  <si>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</si>
  <si>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</si>
  <si>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</si>
  <si>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</si>
  <si>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</si>
  <si>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</si>
  <si>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</si>
  <si>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</si>
  <si>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</si>
  <si>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</si>
  <si>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</si>
  <si>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</si>
  <si>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</si>
  <si>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</si>
  <si>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</si>
  <si>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</si>
  <si>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</si>
  <si>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</si>
  <si>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</si>
  <si>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</si>
  <si>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</si>
  <si>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</si>
  <si>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</si>
  <si>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</si>
  <si>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</si>
  <si>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</si>
  <si>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</si>
  <si>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</si>
  <si>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</si>
  <si>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</si>
  <si>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</si>
  <si>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</si>
  <si>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</si>
  <si>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</si>
  <si>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</si>
  <si>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</si>
  <si>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</si>
  <si>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</si>
  <si>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</si>
  <si>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</si>
  <si>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</si>
  <si>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</si>
  <si>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</si>
  <si>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</si>
  <si>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</si>
  <si>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</si>
  <si>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</si>
  <si>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</si>
  <si>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</si>
  <si>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</si>
  <si>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</si>
  <si>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</si>
  <si>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</si>
  <si>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</si>
  <si>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</si>
  <si>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</si>
  <si>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</si>
  <si>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</si>
  <si>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</si>
  <si>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</si>
  <si>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</si>
  <si>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</si>
  <si>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</si>
  <si>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</si>
  <si>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</si>
  <si>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</si>
  <si>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</si>
  <si>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</si>
  <si>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</si>
  <si>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</si>
  <si>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</si>
  <si>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</si>
  <si>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</si>
  <si>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</si>
  <si>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</si>
  <si>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</si>
  <si>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</si>
  <si>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</si>
  <si>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</si>
  <si>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</si>
  <si>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</si>
  <si>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</si>
  <si>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</si>
  <si>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</si>
  <si>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</si>
  <si>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</si>
  <si>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</si>
  <si>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</si>
  <si>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</si>
  <si>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</si>
  <si>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</si>
  <si>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</si>
  <si>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</si>
  <si>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</si>
  <si>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</si>
  <si>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</si>
  <si>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</si>
  <si>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</si>
  <si>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</si>
  <si>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</si>
  <si>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</si>
  <si>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</si>
  <si>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</si>
  <si>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</si>
  <si>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</si>
  <si>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</si>
  <si>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</si>
  <si>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</si>
  <si>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</si>
  <si>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</si>
  <si>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</si>
  <si>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</si>
  <si>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</si>
  <si>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</si>
  <si>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</si>
  <si>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</si>
  <si>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</si>
  <si>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</si>
  <si>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</si>
  <si>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</si>
  <si>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</si>
  <si>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</si>
  <si>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</si>
  <si>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</si>
  <si>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</si>
  <si>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</si>
  <si>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</si>
  <si>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</si>
  <si>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</si>
  <si>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</si>
  <si>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</si>
  <si>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</si>
  <si>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</si>
  <si>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</si>
  <si>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</si>
  <si>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</si>
  <si>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</si>
  <si>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</si>
  <si>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</si>
  <si>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</si>
  <si>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</si>
  <si>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</si>
  <si>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</si>
  <si>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</si>
  <si>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</si>
  <si>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</si>
  <si>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</si>
  <si>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</si>
  <si>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</si>
  <si>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</si>
  <si>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</si>
  <si>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</si>
  <si>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</si>
  <si>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</si>
  <si>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</si>
  <si>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</si>
  <si>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</si>
  <si>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</si>
  <si>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</si>
  <si>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</si>
  <si>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</si>
  <si>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</si>
  <si>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</si>
  <si>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</si>
  <si>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</si>
  <si>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</si>
  <si>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</si>
  <si>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</si>
  <si>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</si>
  <si>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</si>
  <si>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</si>
  <si>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</si>
  <si>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</si>
  <si>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</si>
  <si>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</si>
  <si>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</si>
  <si>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</si>
  <si>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</si>
  <si>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</si>
  <si>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</si>
  <si>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</si>
  <si>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</si>
  <si>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</si>
  <si>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</si>
  <si>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</si>
  <si>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</si>
  <si>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</si>
  <si>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</si>
  <si>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</si>
  <si>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</si>
  <si>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</si>
  <si>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</si>
  <si>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</si>
  <si>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</si>
  <si>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</si>
  <si>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</si>
  <si>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</si>
  <si>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</si>
  <si>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</si>
  <si>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</si>
  <si>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</si>
  <si>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</si>
  <si>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</si>
  <si>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</si>
  <si>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</si>
  <si>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</si>
  <si>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</si>
  <si>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</si>
  <si>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</si>
  <si>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</si>
  <si>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</si>
  <si>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</si>
  <si>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</si>
  <si>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</si>
  <si>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</si>
  <si>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</si>
  <si>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</si>
  <si>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</si>
  <si>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</si>
  <si>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</si>
  <si>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</si>
  <si>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</si>
  <si>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</si>
  <si>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</si>
  <si>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</si>
  <si>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</si>
  <si>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</si>
  <si>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</si>
  <si>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</si>
  <si>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</si>
  <si>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</si>
  <si>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</si>
  <si>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</si>
  <si>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</si>
  <si>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</si>
  <si>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</si>
  <si>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</si>
  <si>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</si>
  <si>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</si>
  <si>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</si>
  <si>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</si>
  <si>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</si>
  <si>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</si>
  <si>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</si>
  <si>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</si>
  <si>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</si>
  <si>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</si>
  <si>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</si>
  <si>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</si>
  <si>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</si>
  <si>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</si>
  <si>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</si>
  <si>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</si>
  <si>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</si>
  <si>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</si>
  <si>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</si>
  <si>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</si>
  <si>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</si>
  <si>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</si>
  <si>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</si>
  <si>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</si>
  <si>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</si>
  <si>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</si>
  <si>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</si>
  <si>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</si>
  <si>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</si>
  <si>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</si>
  <si>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</si>
  <si>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</si>
  <si>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</si>
  <si>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</si>
  <si>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</si>
  <si>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</si>
  <si>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</si>
  <si>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</si>
  <si>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</si>
  <si>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</si>
  <si>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</si>
  <si>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</si>
  <si>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</si>
  <si>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</si>
  <si>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</si>
  <si>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</si>
  <si>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</si>
  <si>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</si>
  <si>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</si>
  <si>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</si>
  <si>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</si>
  <si>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</si>
  <si>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</si>
  <si>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</si>
  <si>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</si>
  <si>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</si>
  <si>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</si>
  <si>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</si>
  <si>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</si>
  <si>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</si>
  <si>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</si>
  <si>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</si>
  <si>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</si>
  <si>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</si>
  <si>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</si>
  <si>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</si>
  <si>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</si>
  <si>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</si>
  <si>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</si>
  <si>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</si>
  <si>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</si>
  <si>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</si>
  <si>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</si>
  <si>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</si>
  <si>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</si>
  <si>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</si>
  <si>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</si>
  <si>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</si>
  <si>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</si>
  <si>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</si>
  <si>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</si>
  <si>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</si>
  <si>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</si>
  <si>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</si>
  <si>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</si>
  <si>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</si>
  <si>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</si>
  <si>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</si>
  <si>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</si>
  <si>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</si>
  <si>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</si>
  <si>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</si>
  <si>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</si>
  <si>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</si>
  <si>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</si>
  <si>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</si>
  <si>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</si>
  <si>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</si>
  <si>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</si>
  <si>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</si>
  <si>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</si>
  <si>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</si>
  <si>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</si>
  <si>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</si>
  <si>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</si>
  <si>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</si>
  <si>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</si>
  <si>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</si>
  <si>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</si>
  <si>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</si>
  <si>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</si>
  <si>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</si>
  <si>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</si>
  <si>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</si>
  <si>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</si>
  <si>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</si>
  <si>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</si>
  <si>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</si>
  <si>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</si>
  <si>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</si>
  <si>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</si>
  <si>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</si>
  <si>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</si>
  <si>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</si>
  <si>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</si>
  <si>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</si>
  <si>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</si>
  <si>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</si>
  <si>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</si>
  <si>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</si>
  <si>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</si>
  <si>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</si>
  <si>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</si>
  <si>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</si>
  <si>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</si>
  <si>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</si>
  <si>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</si>
  <si>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</si>
  <si>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</si>
  <si>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</si>
  <si>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</si>
  <si>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</si>
  <si>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</si>
  <si>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</si>
  <si>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</si>
  <si>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</si>
  <si>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</si>
  <si>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</si>
  <si>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</si>
  <si>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</si>
  <si>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</si>
  <si>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</si>
  <si>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</si>
  <si>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</si>
  <si>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</si>
  <si>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</si>
  <si>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</si>
  <si>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</si>
  <si>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</si>
  <si>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</si>
  <si>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</si>
  <si>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</si>
  <si>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</si>
  <si>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</si>
  <si>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</si>
  <si>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</si>
  <si>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</si>
  <si>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</si>
  <si>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</si>
  <si>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</si>
  <si>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</si>
  <si>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</si>
  <si>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</si>
  <si>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</si>
  <si>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</si>
  <si>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</si>
  <si>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</si>
  <si>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</si>
  <si>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</si>
  <si>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</si>
  <si>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</si>
  <si>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</si>
  <si>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</si>
  <si>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</si>
  <si>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</si>
  <si>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</si>
  <si>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</si>
  <si>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</si>
  <si>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</si>
  <si>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</si>
  <si>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</si>
  <si>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</si>
  <si>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</si>
  <si>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</si>
  <si>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</si>
  <si>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</si>
  <si>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</si>
  <si>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</si>
  <si>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</si>
  <si>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</si>
  <si>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</si>
  <si>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</si>
  <si>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</si>
  <si>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</si>
  <si>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</si>
  <si>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</si>
  <si>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</si>
  <si>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</si>
  <si>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</si>
  <si>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</si>
  <si>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</si>
  <si>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</si>
  <si>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</si>
  <si>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</si>
  <si>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</si>
  <si>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</si>
  <si>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</si>
  <si>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</si>
  <si>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</si>
  <si>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</si>
  <si>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</si>
  <si>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</si>
  <si>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</si>
  <si>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</si>
  <si>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</si>
  <si>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</si>
  <si>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</si>
  <si>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</si>
  <si>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</si>
  <si>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</si>
  <si>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</si>
  <si>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</si>
  <si>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</si>
  <si>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</si>
  <si>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</si>
  <si>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</si>
  <si>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</si>
  <si>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</si>
  <si>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</si>
  <si>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</si>
  <si>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</si>
  <si>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</si>
  <si>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</si>
  <si>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</si>
  <si>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</si>
  <si>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</si>
  <si>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</si>
  <si>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</si>
  <si>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</si>
  <si>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</si>
  <si>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</si>
  <si>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</si>
  <si>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</si>
  <si>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</si>
  <si>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</si>
  <si>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</si>
  <si>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</si>
  <si>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</si>
  <si>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</si>
  <si>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</si>
  <si>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</si>
  <si>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</si>
  <si>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</si>
  <si>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</si>
  <si>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</si>
  <si>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</si>
  <si>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</si>
  <si>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</si>
  <si>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</si>
  <si>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</si>
  <si>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</si>
  <si>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</si>
  <si>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</si>
  <si>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</si>
  <si>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</si>
  <si>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</si>
  <si>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</si>
  <si>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</si>
  <si>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</si>
  <si>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</si>
  <si>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</si>
  <si>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</si>
  <si>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</si>
  <si>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</si>
  <si>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</si>
  <si>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</si>
  <si>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</si>
  <si>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</si>
  <si>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</si>
  <si>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</si>
  <si>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</si>
  <si>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</si>
  <si>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</si>
  <si>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</si>
  <si>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</si>
  <si>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</si>
  <si>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</si>
  <si>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</si>
  <si>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</si>
  <si>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</si>
  <si>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</si>
  <si>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</si>
  <si>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</si>
  <si>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</si>
  <si>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</si>
  <si>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</si>
  <si>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</si>
  <si>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</si>
  <si>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</si>
  <si>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</si>
  <si>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</si>
  <si>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</si>
  <si>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</si>
  <si>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</si>
  <si>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</si>
  <si>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</si>
  <si>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</si>
  <si>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</si>
  <si>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</si>
  <si>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</si>
  <si>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</si>
  <si>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</si>
  <si>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</si>
  <si>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</si>
  <si>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</si>
  <si>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</si>
  <si>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</si>
  <si>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</si>
  <si>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</si>
  <si>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</si>
  <si>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</si>
  <si>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</si>
  <si>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</si>
  <si>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</si>
  <si>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</si>
  <si>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</si>
  <si>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</si>
  <si>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</si>
  <si>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</si>
  <si>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</si>
  <si>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</si>
  <si>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</si>
  <si>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</si>
  <si>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</si>
  <si>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</si>
  <si>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</si>
  <si>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</si>
  <si>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</si>
  <si>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</si>
  <si>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</si>
  <si>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</si>
  <si>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</si>
  <si>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</si>
  <si>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</si>
  <si>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</si>
  <si>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</si>
  <si>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</si>
  <si>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</si>
  <si>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</si>
  <si>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</si>
  <si>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</si>
  <si>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</si>
  <si>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</si>
  <si>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</si>
  <si>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</si>
  <si>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</si>
  <si>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</si>
  <si>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</si>
  <si>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</si>
  <si>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</si>
  <si>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</si>
  <si>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</si>
  <si>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</si>
  <si>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</si>
  <si>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</si>
  <si>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</si>
  <si>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</si>
  <si>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</si>
  <si>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</si>
  <si>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</si>
  <si>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</si>
  <si>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</si>
  <si>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</si>
  <si>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</si>
  <si>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</si>
  <si>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</si>
  <si>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</si>
  <si>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</si>
  <si>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</si>
  <si>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</si>
  <si>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</si>
  <si>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</si>
  <si>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</si>
  <si>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</si>
  <si>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</si>
  <si>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</si>
  <si>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</si>
  <si>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</si>
  <si>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</si>
  <si>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</si>
  <si>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</si>
  <si>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</si>
  <si>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</si>
  <si>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</si>
  <si>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</si>
  <si>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</si>
  <si>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</si>
  <si>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</si>
  <si>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</si>
  <si>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</si>
  <si>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</si>
  <si>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</si>
  <si>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</si>
  <si>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</si>
  <si>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</si>
  <si>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</si>
  <si>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</si>
  <si>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</si>
  <si>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</si>
  <si>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</si>
  <si>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</si>
  <si>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</si>
  <si>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</si>
  <si>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</si>
  <si>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</si>
  <si>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</si>
  <si>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</si>
  <si>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</si>
  <si>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</si>
  <si>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</si>
  <si>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</si>
  <si>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</si>
  <si>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</si>
  <si>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</si>
  <si>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</si>
  <si>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</si>
  <si>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</si>
  <si>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</si>
  <si>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</si>
  <si>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</si>
  <si>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</si>
  <si>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</si>
  <si>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</si>
  <si>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</si>
  <si>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</si>
  <si>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</si>
  <si>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</si>
  <si>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</si>
  <si>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</si>
  <si>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</si>
  <si>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</si>
  <si>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</si>
  <si>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</si>
  <si>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</si>
  <si>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</si>
  <si>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</si>
  <si>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</si>
  <si>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</si>
  <si>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</si>
  <si>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</si>
  <si>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</si>
  <si>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</si>
  <si>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</si>
  <si>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</si>
  <si>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</si>
  <si>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</si>
  <si>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</si>
  <si>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</si>
  <si>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</si>
  <si>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</si>
  <si>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</si>
  <si>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</si>
  <si>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</si>
  <si>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</si>
  <si>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</si>
  <si>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</si>
  <si>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</si>
  <si>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</si>
  <si>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</si>
  <si>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</si>
  <si>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</si>
  <si>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</si>
  <si>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</si>
  <si>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</si>
  <si>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</si>
  <si>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</si>
  <si>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</si>
  <si>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</si>
  <si>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</si>
  <si>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</si>
  <si>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</si>
  <si>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</si>
  <si>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</si>
  <si>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</si>
  <si>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</si>
  <si>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</si>
  <si>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</si>
  <si>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</si>
  <si>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</si>
  <si>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</si>
  <si>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</si>
  <si>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</si>
  <si>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</si>
  <si>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</si>
  <si>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</si>
  <si>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</si>
  <si>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</si>
  <si>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</si>
  <si>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</si>
  <si>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</si>
  <si>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</si>
  <si>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</si>
  <si>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</si>
  <si>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</si>
  <si>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</si>
  <si>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</si>
  <si>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</si>
  <si>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</si>
  <si>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</si>
  <si>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</si>
  <si>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</si>
  <si>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</si>
  <si>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</si>
  <si>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</si>
  <si>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</si>
  <si>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</si>
  <si>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</si>
  <si>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</si>
  <si>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</si>
  <si>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</si>
  <si>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</si>
  <si>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</si>
  <si>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</si>
  <si>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</si>
  <si>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</si>
  <si>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</si>
  <si>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</si>
  <si>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</si>
  <si>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</si>
  <si>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</si>
  <si>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</si>
  <si>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</si>
  <si>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</si>
  <si>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</si>
  <si>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</si>
  <si>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</si>
  <si>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</si>
  <si>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</si>
  <si>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</si>
  <si>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</si>
  <si>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</si>
  <si>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</si>
  <si>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</si>
  <si>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</si>
  <si>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</si>
  <si>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</si>
  <si>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</si>
  <si>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</si>
  <si>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</si>
  <si>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</si>
  <si>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</si>
  <si>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</si>
  <si>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</si>
  <si>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</si>
  <si>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</si>
  <si>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</si>
  <si>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</si>
  <si>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</si>
  <si>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</si>
  <si>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</si>
  <si>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</si>
  <si>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</si>
  <si>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</si>
  <si>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</si>
  <si>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</si>
  <si>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</si>
  <si>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</si>
  <si>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</si>
  <si>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</si>
  <si>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</si>
  <si>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</si>
  <si>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</si>
  <si>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</si>
  <si>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</si>
  <si>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</si>
  <si>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</si>
  <si>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</si>
  <si>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</si>
  <si>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</si>
  <si>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</si>
  <si>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</si>
  <si>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</si>
  <si>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</si>
  <si>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</si>
  <si>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</si>
  <si>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</si>
  <si>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</si>
  <si>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</si>
  <si>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</si>
  <si>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</si>
  <si>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</si>
  <si>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</si>
  <si>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</si>
  <si>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</si>
  <si>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</si>
  <si>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</si>
  <si>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</si>
  <si>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</si>
  <si>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</si>
  <si>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</si>
  <si>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</si>
  <si>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</si>
  <si>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</si>
  <si>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</si>
  <si>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</si>
  <si>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</si>
  <si>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</si>
  <si>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</si>
  <si>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</si>
  <si>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</si>
  <si>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</si>
  <si>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</si>
  <si>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</si>
  <si>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</si>
  <si>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</si>
  <si>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</si>
  <si>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</si>
  <si>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</si>
  <si>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</si>
  <si>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</si>
  <si>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</si>
  <si>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</si>
  <si>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</si>
  <si>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</si>
  <si>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</si>
  <si>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</si>
  <si>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</si>
  <si>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</si>
  <si>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</si>
  <si>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</si>
  <si>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</si>
  <si>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</si>
  <si>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</si>
  <si>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</si>
  <si>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</si>
  <si>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</si>
  <si>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</si>
  <si>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</si>
  <si>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</si>
  <si>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</si>
  <si>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</si>
  <si>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</si>
  <si>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</si>
  <si>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</si>
  <si>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</si>
  <si>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</si>
  <si>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</si>
  <si>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</si>
  <si>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</si>
  <si>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</si>
  <si>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</si>
  <si>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</si>
  <si>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</si>
  <si>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</si>
  <si>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</si>
  <si>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</si>
  <si>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</si>
  <si>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</si>
  <si>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</si>
  <si>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</si>
  <si>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</si>
  <si>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</si>
  <si>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</si>
  <si>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</si>
  <si>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</si>
  <si>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</si>
  <si>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</si>
  <si>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</si>
  <si>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</si>
  <si>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</si>
  <si>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</si>
  <si>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</si>
  <si>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</si>
  <si>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</si>
  <si>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</si>
  <si>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</si>
  <si>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</si>
  <si>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</si>
  <si>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</si>
  <si>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</si>
  <si>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</si>
  <si>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</si>
  <si>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</si>
  <si>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</si>
  <si>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</si>
  <si>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</si>
  <si>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</si>
  <si>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</si>
  <si>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</si>
  <si>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</si>
  <si>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</si>
  <si>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</si>
  <si>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</si>
  <si>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</si>
  <si>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</si>
  <si>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</si>
  <si>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</si>
  <si>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</si>
  <si>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</si>
  <si>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</si>
  <si>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</si>
  <si>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</si>
  <si>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</si>
  <si>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</si>
  <si>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</si>
  <si>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</si>
  <si>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</si>
  <si>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</si>
  <si>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</si>
  <si>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</si>
  <si>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</si>
  <si>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</si>
  <si>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</si>
  <si>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</si>
  <si>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</si>
  <si>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</si>
  <si>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</si>
  <si>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</si>
  <si>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</si>
  <si>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</si>
  <si>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</si>
  <si>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</si>
  <si>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</si>
  <si>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</si>
  <si>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</si>
  <si>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</si>
  <si>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</si>
  <si>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</si>
  <si>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</si>
  <si>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</si>
  <si>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</si>
  <si>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</si>
  <si>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</si>
  <si>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</si>
  <si>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</si>
  <si>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</si>
  <si>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</si>
  <si>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</si>
  <si>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</si>
  <si>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</si>
  <si>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</si>
  <si>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</si>
  <si>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</si>
  <si>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</si>
  <si>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</si>
  <si>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</si>
  <si>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</si>
  <si>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</si>
  <si>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</si>
  <si>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</si>
  <si>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</si>
  <si>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</si>
  <si>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</si>
  <si>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</si>
  <si>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</si>
  <si>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</si>
  <si>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</si>
  <si>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</si>
  <si>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</si>
  <si>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</si>
  <si>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</si>
  <si>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</si>
  <si>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</si>
  <si>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</si>
  <si>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</si>
  <si>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</si>
  <si>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</si>
  <si>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</si>
  <si>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</si>
  <si>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</si>
  <si>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</si>
  <si>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</si>
  <si>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</si>
  <si>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</si>
  <si>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</si>
  <si>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</si>
  <si>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</si>
  <si>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</si>
  <si>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</si>
  <si>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</si>
  <si>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</si>
  <si>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</si>
  <si>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</si>
  <si>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</si>
  <si>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</si>
  <si>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</si>
  <si>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</si>
  <si>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</si>
  <si>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</si>
  <si>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</si>
  <si>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</si>
  <si>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</si>
  <si>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</si>
  <si>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</si>
  <si>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</si>
  <si>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</si>
  <si>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</si>
  <si>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</si>
  <si>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</si>
  <si>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</si>
  <si>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</si>
  <si>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</si>
  <si>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</si>
  <si>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</si>
  <si>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</si>
  <si>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</si>
  <si>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</si>
  <si>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</si>
  <si>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</si>
  <si>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</si>
  <si>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</si>
  <si>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</si>
  <si>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</si>
  <si>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</si>
  <si>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</si>
  <si>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</si>
  <si>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</si>
  <si>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</si>
  <si>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</si>
  <si>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</si>
  <si>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</si>
  <si>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</si>
  <si>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</si>
  <si>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</si>
  <si>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</si>
  <si>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</si>
  <si>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</si>
  <si>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</si>
  <si>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</si>
  <si>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</si>
  <si>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</si>
  <si>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</si>
  <si>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</si>
  <si>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</si>
  <si>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</si>
  <si>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</si>
  <si>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</si>
  <si>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</si>
  <si>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</si>
  <si>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</si>
  <si>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</si>
  <si>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</si>
  <si>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</si>
  <si>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</si>
  <si>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</si>
  <si>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</si>
  <si>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</si>
  <si>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</si>
  <si>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</si>
  <si>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</si>
  <si>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</si>
  <si>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</si>
  <si>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</si>
  <si>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</si>
  <si>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</si>
  <si>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</si>
  <si>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</si>
  <si>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</si>
  <si>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</si>
  <si>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</si>
  <si>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</si>
  <si>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</si>
  <si>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</si>
  <si>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</si>
  <si>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</si>
  <si>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</si>
  <si>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</si>
  <si>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</si>
  <si>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</si>
  <si>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</si>
  <si>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</si>
  <si>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</si>
  <si>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</si>
  <si>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</si>
  <si>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</si>
  <si>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</si>
  <si>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</si>
  <si>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</si>
  <si>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</si>
  <si>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</si>
  <si>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</si>
  <si>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</si>
  <si>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</si>
  <si>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</si>
  <si>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</si>
  <si>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</si>
  <si>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</si>
  <si>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</si>
  <si>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</si>
  <si>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</si>
  <si>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</si>
  <si>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</si>
  <si>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</si>
  <si>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</si>
  <si>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</si>
  <si>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</si>
  <si>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</si>
  <si>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</si>
  <si>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</si>
  <si>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</si>
  <si>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</si>
  <si>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</si>
  <si>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</si>
  <si>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</si>
  <si>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</si>
  <si>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</si>
  <si>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</si>
  <si>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</si>
  <si>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</si>
  <si>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</si>
  <si>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</si>
  <si>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</si>
  <si>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</si>
  <si>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</si>
  <si>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</si>
  <si>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</si>
  <si>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</si>
  <si>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</si>
  <si>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</si>
  <si>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</si>
  <si>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</si>
  <si>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</si>
  <si>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</si>
  <si>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</si>
  <si>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</si>
  <si>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</si>
  <si>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</si>
  <si>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</si>
  <si>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</si>
  <si>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</si>
  <si>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</si>
  <si>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</si>
  <si>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</si>
  <si>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</si>
  <si>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</si>
  <si>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</si>
  <si>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</si>
  <si>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</si>
  <si>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</si>
  <si>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</si>
  <si>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</si>
  <si>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</si>
  <si>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</si>
  <si>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</si>
  <si>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</si>
  <si>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</si>
  <si>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</si>
  <si>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</si>
  <si>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</si>
  <si>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</si>
  <si>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</si>
  <si>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</si>
  <si>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</si>
  <si>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</si>
  <si>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</si>
  <si>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</si>
  <si>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</si>
  <si>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</si>
  <si>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</si>
  <si>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</si>
  <si>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</si>
  <si>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</si>
  <si>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</si>
  <si>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</si>
  <si>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</si>
  <si>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</si>
  <si>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</si>
  <si>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</si>
  <si>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</si>
  <si>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</si>
  <si>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</si>
  <si>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</si>
  <si>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</si>
  <si>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</si>
  <si>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</si>
  <si>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</si>
  <si>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</si>
  <si>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</si>
  <si>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</si>
  <si>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</si>
  <si>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</si>
  <si>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</si>
  <si>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</si>
  <si>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</si>
  <si>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</si>
  <si>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</si>
  <si>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</si>
  <si>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</si>
  <si>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</si>
  <si>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</si>
  <si>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</si>
  <si>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</si>
  <si>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</si>
  <si>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</si>
  <si>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</si>
  <si>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</si>
  <si>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</si>
  <si>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</si>
  <si>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</si>
  <si>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</si>
  <si>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</si>
  <si>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</si>
  <si>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</si>
  <si>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</si>
  <si>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</si>
  <si>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</si>
  <si>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</si>
  <si>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</si>
  <si>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</si>
  <si>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</si>
  <si>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</si>
  <si>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</si>
  <si>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</si>
  <si>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</si>
  <si>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</si>
  <si>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</si>
  <si>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</si>
  <si>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</si>
  <si>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</si>
  <si>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</si>
  <si>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</si>
  <si>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</si>
  <si>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</si>
  <si>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</si>
  <si>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</si>
  <si>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</si>
  <si>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</si>
  <si>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</si>
  <si>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</si>
  <si>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</si>
  <si>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</si>
  <si>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</si>
  <si>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</si>
  <si>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</si>
  <si>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</si>
  <si>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</si>
  <si>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</si>
  <si>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</si>
  <si>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</si>
  <si>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</si>
  <si>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</si>
  <si>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</si>
  <si>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</si>
  <si>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</si>
  <si>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</si>
  <si>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</si>
  <si>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</si>
  <si>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</si>
  <si>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</si>
  <si>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</si>
  <si>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</si>
  <si>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</si>
  <si>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</si>
  <si>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</si>
  <si>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</si>
  <si>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</si>
  <si>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</si>
  <si>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</si>
  <si>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</si>
  <si>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</si>
  <si>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</si>
  <si>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</si>
  <si>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</si>
  <si>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</si>
  <si>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</si>
  <si>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</si>
  <si>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</si>
  <si>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</si>
  <si>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</si>
  <si>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</si>
  <si>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</si>
  <si>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</si>
  <si>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</si>
  <si>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</si>
  <si>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</si>
  <si>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</si>
  <si>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</si>
  <si>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</si>
  <si>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</si>
  <si>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</si>
  <si>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</si>
  <si>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</si>
  <si>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</si>
  <si>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</si>
  <si>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</si>
  <si>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</si>
  <si>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</si>
  <si>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</si>
  <si>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</si>
  <si>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</si>
  <si>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</si>
  <si>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</si>
  <si>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</si>
  <si>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</si>
  <si>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</si>
  <si>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</si>
  <si>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</si>
  <si>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</si>
  <si>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</si>
  <si>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</si>
  <si>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</si>
  <si>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</si>
  <si>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</si>
  <si>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</si>
  <si>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</si>
  <si>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</si>
  <si>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</si>
  <si>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</si>
  <si>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</si>
  <si>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</si>
  <si>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</si>
  <si>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</si>
  <si>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</si>
  <si>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</si>
  <si>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</si>
  <si>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</si>
  <si>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</si>
  <si>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</si>
  <si>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</si>
  <si>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</si>
  <si>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</si>
  <si>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</si>
  <si>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</si>
  <si>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</si>
  <si>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</si>
  <si>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</si>
  <si>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</si>
  <si>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</si>
  <si>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</si>
  <si>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</si>
  <si>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</si>
  <si>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</si>
  <si>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</si>
  <si>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</si>
  <si>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</si>
  <si>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</si>
  <si>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</si>
  <si>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</si>
  <si>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</si>
  <si>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</si>
  <si>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</si>
  <si>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</si>
  <si>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</si>
  <si>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</si>
  <si>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</si>
  <si>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</si>
  <si>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</si>
  <si>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</si>
  <si>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</si>
  <si>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</si>
  <si>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</si>
  <si>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</si>
  <si>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</si>
  <si>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</si>
  <si>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</si>
  <si>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</si>
  <si>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</si>
  <si>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</si>
  <si>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</si>
  <si>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</si>
  <si>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</si>
  <si>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</si>
  <si>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</si>
  <si>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</si>
  <si>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</si>
  <si>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</si>
  <si>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</si>
  <si>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</si>
  <si>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</si>
  <si>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</si>
  <si>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</si>
  <si>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</si>
  <si>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</si>
  <si>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</si>
  <si>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</si>
  <si>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</si>
  <si>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</si>
  <si>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</si>
  <si>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</si>
  <si>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</si>
  <si>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</si>
  <si>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</si>
  <si>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</si>
  <si>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</si>
  <si>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</si>
  <si>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</si>
  <si>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</si>
  <si>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</si>
  <si>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</si>
  <si>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</si>
  <si>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</si>
  <si>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</si>
  <si>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</si>
  <si>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</si>
  <si>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</si>
  <si>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</si>
  <si>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</si>
  <si>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</si>
  <si>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</si>
  <si>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</si>
  <si>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</si>
  <si>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</si>
  <si>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</si>
  <si>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</si>
  <si>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</si>
  <si>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</si>
  <si>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</si>
  <si>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</si>
  <si>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</si>
  <si>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</si>
  <si>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</si>
  <si>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</si>
  <si>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</si>
  <si>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</si>
  <si>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</si>
  <si>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</si>
  <si>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</si>
  <si>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</si>
  <si>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</si>
  <si>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</si>
  <si>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</si>
  <si>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</si>
  <si>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</si>
  <si>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</si>
  <si>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</si>
  <si>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</si>
  <si>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</si>
  <si>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</si>
  <si>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</si>
  <si>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</si>
  <si>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</si>
  <si>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</si>
  <si>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</si>
  <si>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</si>
  <si>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</si>
  <si>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</si>
  <si>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</si>
  <si>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</si>
  <si>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</si>
  <si>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</si>
  <si>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</si>
  <si>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</si>
  <si>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</si>
  <si>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</si>
  <si>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</si>
  <si>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</si>
  <si>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</si>
  <si>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</si>
  <si>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</si>
  <si>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</si>
  <si>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</si>
  <si>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</si>
  <si>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</si>
  <si>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</si>
  <si>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</si>
  <si>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</si>
  <si>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</si>
  <si>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</si>
  <si>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</si>
  <si>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</si>
  <si>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</si>
  <si>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</si>
  <si>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</si>
  <si>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</si>
  <si>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</si>
  <si>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</si>
  <si>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</si>
  <si>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</si>
  <si>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</si>
  <si>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</si>
  <si>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</si>
  <si>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</si>
  <si>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</si>
  <si>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</si>
  <si>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</si>
  <si>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</si>
  <si>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</si>
  <si>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</si>
  <si>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</si>
  <si>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</si>
  <si>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</si>
  <si>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</si>
  <si>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</si>
  <si>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</si>
  <si>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</si>
  <si>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</si>
  <si>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</si>
  <si>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</si>
  <si>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</si>
  <si>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</si>
  <si>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</si>
  <si>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</si>
  <si>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</si>
  <si>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</si>
  <si>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</si>
  <si>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</si>
  <si>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</si>
  <si>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</si>
  <si>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</si>
  <si>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</si>
  <si>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</si>
  <si>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</si>
  <si>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</si>
  <si>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</si>
  <si>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</si>
  <si>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</si>
  <si>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</si>
  <si>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</si>
  <si>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</si>
  <si>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</si>
  <si>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</si>
  <si>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</si>
  <si>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</si>
  <si>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</si>
  <si>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</si>
  <si>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</si>
  <si>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</si>
  <si>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</si>
  <si>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</si>
  <si>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</si>
  <si>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</si>
  <si>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</si>
  <si>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</si>
  <si>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</si>
  <si>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</si>
  <si>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</si>
  <si>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</si>
  <si>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</si>
  <si>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</si>
  <si>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</si>
  <si>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</si>
  <si>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</si>
  <si>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</si>
  <si>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</si>
  <si>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</si>
  <si>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</si>
  <si>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</si>
  <si>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</si>
  <si>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</si>
  <si>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</si>
  <si>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</si>
  <si>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</si>
  <si>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</si>
  <si>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</si>
  <si>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</si>
  <si>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</si>
  <si>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</si>
  <si>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</si>
  <si>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</si>
  <si>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</si>
  <si>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</si>
  <si>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</si>
  <si>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</si>
  <si>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</si>
  <si>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</si>
  <si>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</si>
  <si>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</si>
  <si>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</si>
  <si>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</si>
  <si>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</si>
  <si>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</si>
  <si>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</si>
  <si>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</si>
  <si>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</si>
  <si>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</si>
  <si>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</si>
  <si>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</si>
  <si>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</si>
  <si>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</si>
  <si>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</si>
  <si>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</si>
  <si>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</si>
  <si>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</si>
  <si>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</si>
  <si>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</si>
  <si>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</si>
  <si>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</si>
  <si>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</si>
  <si>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</si>
  <si>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</si>
  <si>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</si>
  <si>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</si>
  <si>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</si>
  <si>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</si>
  <si>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</si>
  <si>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</si>
  <si>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</si>
  <si>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</si>
  <si>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</si>
  <si>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</si>
  <si>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</si>
  <si>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</si>
  <si>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</si>
  <si>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</si>
  <si>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</si>
  <si>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</si>
  <si>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</si>
  <si>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</si>
  <si>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</si>
  <si>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</si>
  <si>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</si>
  <si>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</si>
  <si>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</si>
  <si>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</si>
  <si>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</si>
  <si>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</si>
  <si>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</si>
  <si>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</si>
  <si>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</si>
  <si>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</si>
  <si>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</si>
  <si>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</si>
  <si>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</si>
  <si>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</si>
  <si>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</si>
  <si>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</si>
  <si>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</si>
  <si>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</si>
  <si>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</si>
  <si>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</si>
  <si>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</si>
  <si>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</si>
  <si>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</si>
  <si>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</si>
  <si>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</si>
  <si>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</si>
  <si>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</si>
  <si>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</si>
  <si>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</si>
  <si>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</si>
  <si>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</si>
  <si>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</si>
  <si>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</si>
  <si>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</si>
  <si>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</si>
  <si>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</si>
  <si>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</si>
  <si>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</si>
  <si>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</si>
  <si>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</si>
  <si>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</si>
  <si>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</si>
  <si>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</si>
  <si>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</si>
  <si>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</si>
  <si>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</si>
  <si>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</si>
  <si>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</si>
  <si>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</si>
  <si>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</si>
  <si>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</si>
  <si>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</si>
  <si>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</si>
  <si>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</si>
  <si>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</si>
  <si>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</si>
  <si>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</si>
  <si>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</si>
  <si>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</si>
  <si>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</si>
  <si>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</si>
  <si>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</si>
  <si>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</si>
  <si>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</si>
  <si>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</si>
  <si>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</si>
  <si>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</si>
  <si>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</si>
  <si>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</si>
  <si>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</si>
  <si>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</si>
  <si>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</si>
  <si>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</si>
  <si>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</si>
  <si>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</si>
  <si>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</si>
  <si>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</si>
  <si>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</si>
  <si>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</si>
  <si>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</si>
  <si>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</si>
  <si>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</si>
  <si>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</si>
  <si>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</si>
  <si>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</si>
  <si>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</si>
  <si>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</si>
  <si>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</si>
  <si>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</si>
  <si>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</si>
  <si>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</si>
  <si>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</si>
  <si>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</si>
  <si>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</si>
  <si>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</si>
  <si>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</si>
  <si>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</si>
  <si>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</si>
  <si>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</si>
  <si>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</si>
  <si>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</si>
  <si>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</si>
  <si>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</si>
  <si>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</si>
  <si>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</si>
  <si>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</si>
  <si>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</si>
  <si>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</si>
  <si>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</si>
  <si>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</si>
  <si>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</si>
  <si>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</si>
  <si>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</si>
  <si>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</si>
  <si>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</si>
  <si>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</si>
  <si>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</si>
  <si>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</si>
  <si>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</si>
  <si>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</si>
  <si>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</si>
  <si>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</si>
  <si>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</si>
  <si>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</si>
  <si>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</si>
  <si>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</si>
  <si>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</si>
  <si>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</si>
  <si>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</si>
  <si>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</si>
  <si>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</si>
  <si>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</si>
  <si>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</si>
  <si>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</si>
  <si>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</si>
  <si>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</si>
  <si>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</si>
  <si>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</si>
  <si>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</si>
  <si>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</si>
  <si>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</si>
  <si>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</si>
  <si>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</si>
  <si>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</si>
  <si>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</si>
  <si>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</si>
  <si>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</si>
  <si>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</si>
  <si>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</si>
  <si>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</si>
  <si>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</si>
  <si>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</si>
  <si>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</si>
  <si>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</si>
  <si>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</si>
  <si>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</si>
  <si>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</si>
  <si>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</si>
  <si>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</si>
  <si>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</si>
  <si>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</si>
  <si>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</si>
  <si>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</si>
  <si>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</si>
  <si>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</si>
  <si>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</si>
  <si>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</si>
  <si>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</si>
  <si>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</si>
  <si>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</si>
  <si>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</si>
  <si>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</si>
  <si>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</si>
  <si>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</si>
  <si>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</si>
  <si>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</si>
  <si>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</si>
  <si>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</si>
  <si>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</si>
  <si>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</si>
  <si>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</si>
  <si>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</si>
  <si>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</si>
  <si>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</si>
  <si>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</si>
  <si>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</si>
  <si>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</si>
  <si>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</si>
  <si>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</si>
  <si>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</si>
  <si>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</si>
  <si>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</si>
  <si>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</si>
  <si>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</si>
  <si>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</si>
  <si>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</si>
  <si>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</si>
  <si>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</si>
  <si>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</si>
  <si>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</si>
  <si>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</si>
  <si>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</si>
  <si>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</si>
  <si>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</si>
  <si>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</si>
  <si>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</si>
  <si>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</si>
  <si>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</si>
  <si>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</si>
  <si>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</si>
  <si>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</si>
  <si>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</si>
  <si>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</si>
  <si>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</si>
  <si>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</si>
  <si>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</si>
  <si>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</si>
  <si>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</si>
  <si>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</si>
  <si>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</si>
  <si>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</si>
  <si>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</si>
  <si>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</si>
  <si>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</si>
  <si>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</si>
  <si>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</si>
  <si>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</si>
  <si>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</si>
  <si>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</si>
  <si>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</si>
  <si>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</si>
  <si>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</si>
  <si>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</si>
  <si>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</si>
  <si>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</si>
  <si>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</si>
  <si>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</si>
  <si>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</si>
  <si>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</si>
  <si>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</si>
  <si>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</si>
  <si>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</si>
  <si>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</si>
  <si>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</si>
  <si>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</si>
  <si>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</si>
  <si>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</si>
  <si>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</si>
  <si>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</si>
  <si>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</si>
  <si>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</si>
  <si>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</si>
  <si>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</si>
  <si>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</si>
  <si>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</si>
  <si>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</si>
  <si>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</si>
  <si>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</si>
  <si>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</si>
  <si>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</si>
  <si>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</si>
  <si>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</si>
  <si>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</si>
  <si>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</si>
  <si>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</si>
  <si>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</si>
  <si>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</si>
  <si>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</si>
  <si>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</si>
  <si>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</si>
  <si>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</si>
  <si>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</si>
  <si>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</si>
  <si>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</si>
  <si>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</si>
  <si>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</si>
  <si>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</si>
  <si>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</si>
  <si>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</si>
  <si>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</si>
  <si>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</si>
  <si>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</si>
  <si>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</si>
  <si>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</si>
  <si>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</si>
  <si>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</si>
  <si>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</si>
  <si>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</si>
  <si>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</si>
  <si>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</si>
  <si>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</si>
  <si>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</si>
  <si>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</si>
  <si>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</si>
  <si>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</si>
  <si>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</si>
  <si>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</si>
  <si>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</si>
  <si>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</si>
  <si>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</si>
  <si>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</si>
  <si>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</si>
  <si>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</si>
  <si>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</si>
  <si>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</si>
  <si>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</si>
  <si>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</si>
  <si>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</si>
  <si>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</si>
  <si>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</si>
  <si>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</si>
  <si>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</si>
  <si>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</si>
  <si>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</si>
  <si>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</si>
  <si>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</si>
  <si>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</si>
  <si>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</si>
  <si>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</si>
  <si>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</si>
  <si>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</si>
  <si>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</si>
  <si>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</si>
  <si>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</si>
  <si>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</si>
  <si>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</si>
  <si>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</si>
  <si>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</si>
  <si>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</si>
  <si>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</si>
  <si>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</si>
  <si>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</si>
  <si>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</si>
  <si>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</si>
  <si>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</si>
  <si>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</si>
  <si>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</si>
  <si>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</si>
  <si>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</si>
  <si>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</si>
  <si>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</si>
  <si>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</si>
  <si>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</si>
  <si>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</si>
  <si>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</si>
  <si>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</si>
  <si>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</si>
  <si>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</si>
  <si>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</si>
  <si>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</si>
  <si>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</si>
  <si>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</si>
  <si>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</si>
  <si>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</si>
  <si>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</si>
  <si>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</si>
  <si>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</si>
  <si>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</si>
  <si>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</si>
  <si>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</si>
  <si>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</si>
  <si>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</si>
  <si>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</si>
  <si>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</si>
  <si>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</si>
  <si>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</si>
  <si>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</si>
  <si>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</si>
  <si>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</si>
  <si>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</si>
  <si>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</si>
  <si>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</si>
  <si>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</si>
  <si>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</si>
  <si>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</si>
  <si>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</si>
  <si>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</si>
  <si>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</si>
  <si>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</si>
  <si>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</si>
  <si>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</si>
  <si>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</si>
  <si>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</si>
  <si>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</si>
  <si>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</si>
  <si>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</si>
  <si>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</si>
  <si>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</si>
  <si>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</si>
  <si>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</si>
  <si>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</si>
  <si>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</si>
  <si>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</si>
  <si>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</si>
  <si>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</si>
  <si>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</si>
  <si>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</si>
  <si>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</si>
  <si>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</si>
  <si>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</si>
  <si>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</si>
  <si>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</si>
  <si>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</si>
  <si>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</si>
  <si>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</si>
  <si>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</si>
  <si>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</si>
  <si>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</si>
  <si>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</si>
  <si>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</si>
  <si>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</si>
  <si>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</si>
  <si>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</si>
  <si>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</si>
  <si>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</si>
  <si>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</si>
  <si>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</si>
  <si>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</si>
  <si>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</si>
  <si>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</si>
  <si>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</si>
  <si>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</si>
  <si>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</si>
  <si>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</si>
  <si>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</si>
  <si>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</si>
  <si>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</si>
  <si>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</si>
  <si>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</si>
  <si>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</si>
  <si>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</si>
  <si>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</si>
  <si>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</si>
  <si>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</si>
  <si>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</si>
  <si>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</si>
  <si>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</si>
  <si>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</si>
  <si>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</si>
  <si>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</si>
  <si>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</si>
  <si>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</si>
  <si>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</si>
  <si>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</si>
  <si>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</si>
  <si>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</si>
  <si>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</si>
  <si>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</si>
  <si>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</si>
  <si>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</si>
  <si>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</si>
  <si>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</si>
  <si>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</si>
  <si>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</si>
  <si>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</si>
  <si>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</si>
  <si>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</si>
  <si>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</si>
  <si>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</si>
  <si>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</si>
  <si>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</si>
  <si>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</si>
  <si>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</si>
  <si>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</si>
  <si>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</si>
  <si>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</si>
  <si>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</si>
  <si>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</si>
  <si>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</si>
  <si>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</si>
  <si>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</si>
  <si>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</si>
  <si>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</si>
  <si>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</si>
  <si>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</si>
  <si>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</si>
  <si>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</si>
  <si>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</si>
  <si>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</si>
  <si>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</si>
  <si>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</si>
  <si>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</si>
  <si>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</si>
  <si>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</si>
  <si>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</si>
  <si>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</si>
  <si>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</si>
  <si>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</si>
  <si>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</si>
  <si>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</si>
  <si>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</si>
  <si>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</si>
  <si>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</si>
  <si>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</si>
  <si>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</si>
  <si>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</si>
  <si>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</si>
  <si>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</si>
  <si>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</si>
  <si>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</si>
  <si>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</si>
  <si>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</si>
  <si>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</si>
  <si>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</si>
  <si>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</si>
  <si>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</si>
  <si>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</si>
  <si>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</si>
  <si>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</si>
  <si>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</si>
  <si>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</si>
  <si>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</si>
  <si>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</si>
  <si>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</si>
  <si>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</si>
  <si>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</si>
  <si>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</si>
  <si>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</si>
  <si>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</si>
  <si>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</si>
  <si>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</si>
  <si>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</si>
  <si>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</si>
  <si>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</si>
  <si>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</si>
  <si>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</si>
  <si>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</si>
  <si>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</si>
  <si>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</si>
  <si>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</si>
  <si>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</si>
  <si>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</si>
  <si>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</si>
  <si>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</si>
  <si>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</si>
  <si>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</si>
  <si>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</si>
  <si>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</si>
  <si>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</si>
  <si>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</si>
  <si>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</si>
  <si>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</si>
  <si>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</si>
  <si>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</si>
  <si>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</si>
  <si>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</si>
  <si>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</si>
  <si>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</si>
  <si>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</si>
  <si>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</si>
  <si>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</si>
  <si>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</si>
  <si>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</si>
  <si>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</si>
  <si>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</si>
  <si>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</si>
  <si>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</si>
  <si>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</si>
  <si>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</si>
  <si>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</si>
  <si>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</si>
  <si>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</si>
  <si>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</si>
  <si>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</si>
  <si>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</si>
  <si>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</si>
  <si>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</si>
  <si>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</si>
  <si>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</si>
  <si>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</si>
  <si>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</si>
  <si>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</si>
  <si>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</si>
  <si>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</si>
  <si>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</si>
  <si>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</si>
  <si>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</si>
  <si>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</si>
  <si>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</si>
  <si>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</si>
  <si>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</si>
  <si>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</si>
  <si>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</si>
  <si>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</si>
  <si>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</si>
  <si>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</si>
  <si>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</si>
  <si>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</si>
  <si>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</si>
  <si>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</si>
  <si>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</si>
  <si>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</si>
  <si>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</si>
  <si>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</si>
  <si>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</si>
  <si>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</si>
  <si>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</si>
  <si>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</si>
  <si>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</si>
  <si>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</si>
  <si>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</si>
  <si>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</si>
  <si>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</si>
  <si>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</si>
  <si>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</si>
  <si>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</si>
  <si>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</si>
  <si>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</si>
  <si>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</si>
  <si>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</si>
  <si>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</si>
  <si>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</si>
  <si>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</si>
  <si>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</si>
  <si>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</si>
  <si>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</si>
  <si>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</si>
  <si>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</si>
  <si>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</si>
  <si>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</si>
  <si>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</si>
  <si>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</si>
  <si>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</si>
  <si>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</si>
  <si>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</si>
  <si>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</si>
  <si>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</si>
  <si>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</si>
  <si>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</si>
  <si>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</si>
  <si>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</si>
  <si>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</si>
  <si>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</si>
  <si>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</si>
  <si>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</si>
  <si>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</si>
  <si>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</si>
  <si>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</si>
  <si>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</si>
  <si>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</si>
  <si>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</si>
  <si>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</si>
  <si>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</si>
  <si>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</si>
  <si>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</si>
  <si>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</si>
  <si>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</si>
  <si>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</si>
  <si>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</si>
  <si>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</si>
  <si>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</si>
  <si>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</si>
  <si>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</si>
  <si>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</si>
  <si>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</si>
  <si>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</si>
  <si>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</si>
  <si>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</si>
  <si>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</si>
  <si>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</si>
  <si>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</si>
  <si>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</si>
  <si>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</si>
  <si>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</si>
  <si>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</si>
  <si>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</si>
  <si>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</si>
  <si>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</si>
  <si>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</si>
  <si>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</si>
  <si>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</si>
  <si>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</si>
  <si>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</si>
  <si>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</si>
  <si>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</si>
  <si>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</si>
  <si>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</si>
  <si>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</si>
  <si>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</si>
  <si>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</si>
  <si>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</si>
  <si>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</si>
  <si>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</si>
  <si>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</si>
  <si>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</si>
  <si>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</si>
  <si>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</si>
  <si>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</si>
  <si>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</si>
  <si>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</si>
  <si>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</si>
  <si>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</si>
  <si>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</si>
  <si>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</si>
  <si>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</si>
  <si>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</si>
  <si>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</si>
  <si>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</si>
  <si>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</si>
  <si>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</si>
  <si>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</si>
  <si>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</si>
  <si>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</si>
  <si>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</si>
  <si>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</si>
  <si>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</si>
  <si>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</si>
  <si>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</si>
  <si>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</si>
  <si>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</si>
  <si>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</si>
  <si>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</si>
  <si>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</si>
  <si>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</si>
  <si>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</si>
  <si>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</si>
  <si>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</si>
  <si>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</si>
  <si>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</si>
  <si>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</si>
  <si>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</si>
  <si>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</si>
  <si>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</si>
  <si>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</si>
  <si>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</si>
  <si>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</si>
  <si>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</si>
  <si>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</si>
  <si>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</si>
  <si>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</si>
  <si>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</si>
  <si>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</si>
  <si>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</si>
  <si>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</si>
  <si>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</si>
  <si>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</si>
  <si>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</si>
  <si>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</si>
  <si>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</si>
  <si>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</si>
  <si>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</si>
  <si>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</si>
  <si>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</si>
  <si>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</si>
  <si>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</si>
  <si>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</si>
  <si>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</si>
  <si>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</si>
  <si>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</si>
  <si>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</si>
  <si>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</si>
  <si>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</si>
  <si>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</si>
  <si>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</si>
  <si>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</si>
  <si>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</si>
  <si>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</si>
  <si>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</si>
  <si>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</si>
  <si>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</si>
  <si>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</si>
  <si>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</si>
  <si>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</si>
  <si>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</si>
  <si>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</si>
  <si>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</si>
  <si>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</si>
  <si>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</si>
  <si>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</si>
  <si>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</si>
  <si>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</si>
  <si>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</si>
  <si>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</si>
  <si>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</si>
  <si>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</si>
  <si>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</si>
  <si>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</si>
  <si>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</si>
  <si>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</si>
  <si>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</si>
  <si>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</si>
  <si>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</si>
  <si>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</si>
  <si>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</si>
  <si>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</si>
  <si>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</si>
  <si>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</si>
  <si>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</si>
  <si>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</si>
  <si>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</si>
  <si>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</si>
  <si>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</si>
  <si>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</si>
  <si>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</si>
  <si>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</si>
  <si>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</si>
  <si>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</si>
  <si>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</si>
  <si>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</si>
  <si>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</si>
  <si>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</si>
  <si>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</si>
  <si>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</si>
  <si>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</si>
  <si>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</si>
  <si>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</si>
  <si>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</si>
  <si>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</si>
  <si>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</si>
  <si>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</si>
  <si>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</si>
  <si>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</si>
  <si>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</si>
  <si>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</si>
  <si>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</si>
  <si>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</si>
  <si>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</si>
  <si>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</si>
  <si>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</si>
  <si>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</si>
  <si>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</si>
  <si>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</si>
  <si>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</si>
  <si>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</si>
  <si>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</si>
  <si>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</si>
  <si>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</si>
  <si>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</si>
  <si>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</si>
  <si>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</si>
  <si>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</si>
  <si>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</si>
  <si>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</si>
  <si>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</si>
  <si>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</si>
  <si>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</si>
  <si>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</si>
  <si>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</si>
  <si>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</si>
  <si>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</si>
  <si>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</si>
  <si>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</si>
  <si>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</si>
  <si>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</si>
  <si>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</si>
  <si>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</si>
  <si>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</si>
  <si>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</si>
  <si>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</si>
  <si>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</si>
  <si>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</si>
  <si>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</si>
  <si>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</si>
  <si>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</si>
  <si>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</si>
  <si>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</si>
  <si>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</si>
  <si>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</si>
  <si>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</si>
  <si>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</si>
  <si>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</si>
  <si>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</si>
  <si>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</si>
  <si>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</si>
  <si>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</si>
  <si>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</si>
  <si>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</si>
  <si>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</si>
  <si>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</si>
  <si>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</si>
  <si>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</si>
  <si>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</si>
  <si>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</si>
  <si>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</si>
  <si>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</si>
  <si>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</si>
  <si>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</si>
  <si>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</si>
  <si>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</si>
  <si>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</si>
  <si>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</si>
  <si>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</si>
  <si>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</si>
  <si>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</si>
  <si>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</si>
  <si>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</si>
  <si>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</si>
  <si>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</si>
  <si>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</si>
  <si>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</si>
  <si>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</si>
  <si>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</si>
  <si>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</si>
  <si>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</si>
  <si>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</si>
  <si>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</si>
  <si>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</si>
  <si>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</si>
  <si>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</si>
  <si>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</si>
  <si>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</si>
  <si>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</si>
  <si>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</si>
  <si>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</si>
  <si>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</si>
  <si>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</si>
  <si>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</si>
  <si>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</si>
  <si>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</si>
  <si>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</si>
  <si>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</si>
  <si>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</si>
  <si>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</si>
  <si>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</si>
  <si>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</si>
  <si>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</si>
  <si>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</si>
  <si>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</si>
  <si>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</si>
  <si>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</si>
  <si>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</si>
  <si>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</si>
  <si>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</si>
  <si>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</si>
  <si>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</si>
  <si>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</si>
  <si>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</si>
  <si>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</si>
  <si>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</si>
  <si>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</si>
  <si>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</si>
  <si>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</si>
  <si>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</si>
  <si>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</si>
  <si>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</si>
  <si>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</si>
  <si>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</si>
  <si>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</si>
  <si>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</si>
  <si>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</si>
  <si>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</si>
  <si>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</si>
  <si>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</si>
  <si>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</si>
  <si>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</si>
  <si>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</si>
  <si>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</si>
  <si>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</si>
  <si>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</si>
  <si>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</si>
  <si>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</si>
  <si>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</si>
  <si>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</si>
  <si>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</si>
  <si>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</si>
  <si>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</si>
  <si>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</si>
  <si>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</si>
  <si>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</si>
  <si>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</si>
  <si>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</si>
  <si>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</si>
  <si>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</si>
  <si>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</si>
  <si>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</si>
  <si>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</si>
  <si>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</si>
  <si>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</si>
  <si>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</si>
  <si>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</si>
  <si>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</si>
  <si>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</si>
  <si>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</si>
  <si>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</si>
  <si>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</si>
  <si>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</si>
  <si>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</si>
  <si>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</si>
  <si>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</si>
  <si>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</si>
  <si>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</si>
  <si>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</si>
  <si>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</si>
  <si>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</si>
  <si>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</si>
  <si>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</si>
  <si>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</si>
  <si>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</si>
  <si>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</si>
  <si>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</si>
  <si>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</si>
  <si>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</si>
  <si>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</si>
  <si>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</si>
  <si>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</si>
  <si>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</si>
  <si>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</si>
  <si>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</si>
  <si>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</si>
  <si>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</si>
  <si>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</si>
  <si>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</si>
  <si>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</si>
  <si>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</si>
  <si>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</si>
  <si>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</si>
  <si>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</si>
  <si>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</si>
  <si>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</si>
  <si>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</si>
  <si>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</si>
  <si>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</si>
  <si>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</si>
  <si>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</si>
  <si>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</si>
  <si>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</si>
  <si>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</si>
  <si>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</si>
  <si>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</si>
  <si>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</si>
  <si>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</si>
  <si>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</si>
  <si>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</si>
  <si>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</si>
  <si>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</si>
  <si>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</si>
  <si>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</si>
  <si>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</si>
  <si>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</si>
  <si>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</si>
  <si>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</si>
  <si>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</si>
  <si>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</si>
  <si>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</si>
  <si>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</si>
  <si>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</si>
  <si>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</si>
  <si>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</si>
  <si>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</si>
  <si>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</si>
  <si>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</si>
  <si>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</si>
  <si>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</si>
  <si>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</si>
  <si>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</si>
  <si>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</si>
  <si>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</si>
  <si>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</si>
  <si>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</si>
  <si>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</si>
  <si>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</si>
  <si>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</si>
  <si>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</si>
  <si>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</si>
  <si>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</si>
  <si>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</si>
  <si>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</si>
  <si>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</si>
  <si>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</si>
  <si>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</si>
  <si>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</si>
  <si>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</si>
  <si>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</si>
  <si>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</si>
  <si>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</si>
  <si>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</si>
  <si>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</si>
  <si>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</si>
  <si>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</si>
  <si>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</si>
  <si>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</si>
  <si>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</si>
  <si>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</si>
  <si>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</si>
  <si>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</si>
  <si>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</si>
  <si>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</si>
  <si>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</si>
  <si>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</si>
  <si>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</si>
  <si>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</si>
  <si>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</si>
  <si>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</si>
  <si>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</si>
  <si>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</si>
  <si>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</si>
  <si>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</si>
  <si>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</si>
  <si>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</si>
  <si>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</si>
  <si>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</si>
  <si>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</si>
  <si>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</si>
  <si>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</si>
  <si>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</si>
  <si>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</si>
  <si>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</si>
  <si>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</si>
  <si>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</si>
  <si>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</si>
  <si>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</si>
  <si>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</si>
  <si>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</si>
  <si>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</si>
  <si>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</si>
  <si>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</si>
  <si>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</si>
  <si>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</si>
  <si>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</si>
  <si>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</si>
  <si>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</si>
  <si>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</si>
  <si>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</si>
  <si>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</si>
  <si>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</si>
  <si>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</si>
  <si>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</si>
  <si>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</si>
  <si>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</si>
  <si>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</si>
  <si>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</si>
  <si>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</si>
  <si>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</si>
  <si>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</si>
  <si>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</si>
  <si>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</si>
  <si>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</si>
  <si>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</si>
  <si>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</si>
  <si>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</si>
  <si>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</si>
  <si>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</si>
  <si>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</si>
  <si>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</si>
  <si>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</si>
  <si>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</si>
  <si>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</si>
  <si>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</si>
  <si>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</si>
  <si>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</si>
  <si>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</si>
  <si>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</si>
  <si>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</si>
  <si>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</si>
  <si>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</si>
  <si>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</si>
  <si>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</si>
  <si>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</si>
  <si>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</si>
  <si>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</si>
  <si>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</si>
  <si>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</si>
  <si>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</si>
  <si>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</si>
  <si>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</si>
  <si>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</si>
  <si>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</si>
  <si>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</si>
  <si>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</si>
  <si>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</si>
  <si>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</si>
  <si>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</si>
  <si>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</si>
  <si>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</si>
  <si>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</si>
  <si>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</si>
  <si>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</si>
  <si>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</si>
  <si>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</si>
  <si>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</si>
  <si>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</si>
  <si>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</si>
  <si>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</si>
  <si>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</si>
  <si>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</si>
  <si>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</si>
  <si>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</si>
  <si>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</si>
  <si>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</si>
  <si>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</si>
  <si>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</si>
  <si>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</si>
  <si>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</si>
  <si>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</si>
  <si>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</si>
  <si>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</si>
  <si>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</si>
  <si>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</si>
  <si>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</si>
  <si>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</si>
  <si>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</si>
  <si>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</si>
  <si>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</si>
  <si>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</si>
  <si>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</si>
  <si>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</si>
  <si>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</si>
  <si>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</si>
  <si>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</si>
  <si>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</si>
  <si>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</si>
  <si>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</si>
  <si>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</si>
  <si>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</si>
  <si>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</si>
  <si>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</si>
  <si>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</si>
  <si>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</si>
  <si>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</si>
  <si>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</si>
  <si>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</si>
  <si>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</si>
  <si>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</si>
  <si>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</si>
  <si>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</si>
  <si>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</si>
  <si>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</si>
  <si>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</si>
  <si>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</si>
  <si>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</si>
  <si>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</si>
  <si>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</si>
  <si>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</si>
  <si>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</si>
  <si>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</si>
  <si>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</si>
  <si>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</si>
  <si>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</si>
  <si>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</si>
  <si>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</si>
  <si>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</si>
  <si>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</si>
  <si>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</si>
  <si>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</si>
  <si>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</si>
  <si>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</si>
  <si>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</si>
  <si>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</si>
  <si>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</si>
  <si>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</si>
  <si>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</si>
  <si>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</si>
  <si>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</si>
  <si>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</si>
  <si>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</si>
  <si>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</si>
  <si>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</si>
  <si>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</si>
  <si>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</si>
  <si>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</si>
  <si>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</si>
  <si>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</si>
  <si>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</si>
  <si>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</si>
  <si>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</si>
  <si>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</si>
  <si>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</si>
  <si>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</si>
  <si>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</si>
  <si>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</si>
  <si>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</si>
  <si>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</si>
  <si>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</si>
  <si>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</si>
  <si>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</si>
  <si>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</si>
  <si>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</si>
  <si>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</si>
  <si>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</si>
  <si>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</si>
  <si>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</si>
  <si>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</si>
  <si>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</si>
  <si>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</si>
  <si>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</si>
  <si>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</si>
  <si>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</si>
  <si>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</si>
  <si>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</si>
  <si>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</si>
  <si>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</si>
  <si>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</si>
  <si>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</si>
  <si>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</si>
  <si>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</si>
  <si>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</si>
  <si>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</si>
  <si>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</si>
  <si>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</si>
  <si>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</si>
  <si>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</si>
  <si>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</si>
  <si>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</si>
  <si>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</si>
  <si>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</si>
  <si>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</si>
  <si>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</si>
  <si>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</si>
  <si>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</si>
  <si>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</si>
  <si>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</si>
  <si>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</si>
  <si>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</si>
  <si>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</si>
  <si>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</si>
  <si>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</si>
  <si>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</si>
  <si>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</si>
  <si>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</si>
  <si>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</si>
  <si>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</si>
  <si>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</si>
  <si>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</si>
  <si>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</si>
  <si>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</si>
  <si>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</si>
  <si>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</si>
  <si>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</si>
  <si>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</si>
  <si>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</si>
  <si>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</si>
  <si>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</si>
  <si>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</si>
  <si>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</si>
  <si>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</si>
  <si>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</si>
  <si>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</si>
  <si>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</si>
  <si>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</si>
  <si>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</si>
  <si>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</si>
  <si>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</si>
  <si>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</si>
  <si>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</si>
  <si>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</si>
  <si>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</si>
  <si>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</si>
  <si>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</si>
  <si>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</si>
  <si>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</si>
  <si>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</si>
  <si>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</si>
  <si>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</si>
  <si>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</si>
  <si>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</si>
  <si>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</si>
  <si>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</si>
  <si>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</si>
  <si>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</si>
  <si>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</si>
  <si>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</si>
  <si>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</si>
  <si>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</si>
  <si>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</si>
  <si>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</si>
  <si>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</si>
  <si>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</si>
  <si>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</si>
  <si>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</si>
  <si>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</si>
  <si>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</si>
  <si>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</si>
  <si>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</si>
  <si>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</si>
  <si>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</si>
  <si>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</si>
  <si>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</si>
  <si>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</si>
  <si>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</si>
  <si>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</si>
  <si>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</si>
  <si>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</si>
  <si>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</si>
  <si>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</si>
  <si>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</si>
  <si>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</si>
  <si>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</si>
  <si>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</si>
  <si>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</si>
  <si>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</si>
  <si>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</si>
  <si>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</si>
  <si>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</si>
  <si>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</si>
  <si>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</si>
  <si>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</si>
  <si>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</si>
  <si>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</si>
  <si>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</si>
  <si>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</si>
  <si>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</si>
  <si>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</si>
  <si>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</si>
  <si>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</si>
  <si>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</si>
  <si>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</si>
  <si>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</si>
  <si>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</si>
  <si>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</si>
  <si>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</si>
  <si>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</si>
  <si>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</si>
  <si>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</si>
  <si>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</si>
  <si>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</si>
  <si>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</si>
  <si>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</si>
  <si>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</si>
  <si>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</si>
  <si>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</si>
  <si>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</si>
  <si>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</si>
  <si>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</si>
  <si>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</si>
  <si>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</si>
  <si>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</si>
  <si>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</si>
  <si>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</si>
  <si>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</si>
  <si>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</si>
  <si>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</si>
  <si>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</si>
  <si>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</si>
  <si>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</si>
  <si>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</si>
  <si>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</si>
  <si>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</si>
  <si>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</si>
  <si>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</si>
  <si>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</si>
  <si>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</si>
  <si>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</si>
  <si>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</si>
  <si>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</si>
  <si>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</si>
  <si>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</si>
  <si>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</si>
  <si>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</si>
  <si>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</si>
  <si>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</si>
  <si>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</si>
  <si>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</si>
  <si>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</si>
  <si>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</si>
  <si>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</si>
  <si>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</si>
  <si>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</si>
  <si>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</si>
  <si>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</si>
  <si>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</si>
  <si>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</si>
  <si>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</si>
  <si>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</si>
  <si>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</si>
  <si>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</si>
  <si>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</si>
  <si>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</si>
  <si>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</si>
  <si>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</si>
  <si>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</si>
  <si>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</si>
  <si>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</si>
  <si>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</si>
  <si>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</si>
  <si>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</si>
  <si>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</si>
  <si>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</si>
  <si>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</si>
  <si>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</si>
  <si>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</si>
  <si>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</si>
  <si>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</si>
  <si>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</si>
  <si>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</si>
  <si>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</si>
  <si>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</si>
  <si>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</si>
  <si>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</si>
  <si>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</si>
  <si>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</si>
  <si>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</si>
  <si>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</si>
  <si>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</si>
  <si>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</si>
  <si>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</si>
  <si>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</si>
  <si>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</si>
  <si>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</si>
  <si>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</si>
  <si>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</si>
  <si>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</si>
  <si>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</si>
  <si>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</si>
  <si>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</si>
  <si>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</si>
  <si>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</si>
  <si>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</si>
  <si>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</si>
  <si>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</si>
  <si>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</si>
  <si>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</si>
  <si>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</si>
  <si>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</si>
  <si>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</si>
  <si>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</si>
  <si>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</si>
  <si>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</si>
  <si>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</si>
  <si>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</si>
  <si>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</si>
  <si>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</si>
  <si>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</si>
  <si>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</si>
  <si>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</si>
  <si>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</si>
  <si>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</si>
  <si>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</si>
  <si>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</si>
  <si>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</si>
  <si>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</si>
  <si>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</si>
  <si>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</si>
  <si>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</si>
  <si>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</si>
  <si>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</si>
  <si>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</si>
  <si>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</si>
  <si>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</si>
  <si>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</si>
  <si>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</si>
  <si>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</si>
  <si>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</si>
  <si>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</si>
  <si>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</si>
  <si>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</si>
  <si>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</si>
  <si>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</si>
  <si>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</si>
  <si>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</si>
  <si>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</si>
  <si>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</si>
  <si>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</si>
  <si>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</si>
  <si>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</si>
  <si>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</si>
  <si>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</si>
  <si>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</si>
  <si>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</si>
  <si>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</si>
  <si>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</si>
  <si>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</si>
  <si>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</si>
  <si>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</si>
  <si>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</si>
  <si>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</si>
  <si>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</si>
  <si>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</si>
  <si>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</si>
  <si>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</si>
  <si>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</si>
  <si>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</si>
  <si>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</si>
  <si>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</si>
  <si>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</si>
  <si>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</si>
  <si>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</si>
  <si>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</si>
  <si>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</si>
  <si>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</si>
  <si>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</si>
  <si>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</si>
  <si>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</si>
  <si>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</si>
  <si>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</si>
  <si>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</si>
  <si>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</si>
  <si>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</si>
  <si>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</si>
  <si>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</si>
  <si>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</si>
  <si>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</si>
  <si>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</si>
  <si>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</si>
  <si>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</si>
  <si>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</si>
  <si>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</si>
  <si>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</si>
  <si>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</si>
  <si>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</si>
  <si>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</si>
  <si>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</si>
  <si>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</si>
  <si>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</si>
  <si>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</si>
  <si>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</si>
  <si>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</si>
  <si>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</si>
  <si>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</si>
  <si>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</si>
  <si>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</si>
  <si>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</si>
  <si>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</si>
  <si>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</si>
  <si>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</si>
  <si>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</si>
  <si>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</si>
  <si>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</si>
  <si>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</si>
  <si>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</si>
  <si>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</si>
  <si>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</si>
  <si>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</si>
  <si>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</si>
  <si>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</si>
  <si>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</si>
  <si>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</si>
  <si>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</si>
  <si>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</si>
  <si>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</si>
  <si>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</si>
  <si>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</si>
  <si>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</si>
  <si>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</si>
  <si>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</si>
  <si>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</si>
  <si>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</si>
  <si>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</si>
  <si>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</si>
  <si>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</si>
  <si>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</si>
  <si>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</si>
  <si>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</si>
  <si>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</si>
  <si>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</si>
  <si>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</si>
  <si>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</si>
  <si>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</si>
  <si>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</si>
  <si>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</si>
  <si>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</si>
  <si>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</si>
  <si>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</si>
  <si>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</si>
  <si>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</si>
  <si>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</si>
  <si>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</si>
  <si>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</si>
  <si>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</si>
  <si>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</si>
  <si>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</si>
  <si>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</si>
  <si>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</si>
  <si>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</si>
  <si>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</si>
  <si>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</si>
  <si>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</si>
  <si>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</si>
  <si>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</si>
  <si>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</si>
  <si>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</si>
  <si>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</si>
  <si>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</si>
  <si>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</si>
  <si>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</si>
  <si>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</si>
  <si>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</si>
  <si>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</si>
  <si>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</si>
  <si>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</si>
  <si>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</si>
  <si>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</si>
  <si>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</si>
  <si>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</si>
  <si>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</si>
  <si>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</si>
  <si>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</si>
  <si>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</si>
  <si>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</si>
  <si>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</si>
  <si>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</si>
  <si>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</si>
  <si>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</si>
  <si>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</si>
  <si>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</si>
  <si>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</si>
  <si>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</si>
  <si>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</si>
  <si>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</si>
  <si>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</si>
  <si>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</si>
  <si>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</si>
  <si>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</si>
  <si>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</si>
  <si>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</si>
  <si>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</si>
  <si>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</si>
  <si>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</si>
  <si>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</si>
  <si>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</si>
  <si>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</si>
  <si>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</si>
  <si>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</si>
  <si>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</si>
  <si>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</si>
  <si>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</si>
  <si>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</si>
  <si>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</si>
  <si>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</si>
  <si>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</si>
  <si>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</si>
  <si>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</si>
  <si>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</si>
  <si>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</si>
  <si>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</si>
  <si>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</si>
  <si>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</si>
  <si>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</si>
  <si>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</si>
  <si>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</si>
  <si>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</si>
  <si>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</si>
  <si>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</si>
  <si>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</si>
  <si>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</si>
  <si>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</si>
  <si>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</si>
  <si>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</si>
  <si>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</si>
  <si>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</si>
  <si>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</si>
  <si>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</si>
  <si>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</si>
  <si>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</si>
  <si>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</si>
  <si>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</si>
  <si>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</si>
  <si>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</si>
  <si>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</si>
  <si>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</si>
  <si>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</si>
  <si>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</si>
  <si>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</si>
  <si>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</si>
  <si>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</si>
  <si>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</si>
  <si>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</si>
  <si>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</si>
  <si>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</si>
  <si>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</si>
  <si>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</si>
  <si>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</si>
  <si>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</si>
  <si>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</si>
  <si>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</si>
  <si>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</si>
  <si>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</si>
  <si>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</si>
  <si>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</si>
  <si>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</si>
  <si>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</si>
  <si>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</si>
  <si>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</si>
  <si>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</si>
  <si>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</si>
  <si>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</si>
  <si>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</si>
  <si>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</si>
  <si>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</si>
  <si>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</si>
  <si>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</si>
  <si>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</si>
  <si>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</si>
  <si>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</si>
  <si>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</si>
  <si>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</si>
  <si>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</si>
  <si>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</si>
  <si>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</si>
  <si>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</si>
  <si>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</si>
  <si>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</si>
  <si>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</si>
  <si>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</si>
  <si>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</si>
  <si>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</si>
  <si>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</si>
  <si>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</si>
  <si>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</si>
  <si>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</si>
  <si>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</si>
  <si>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</si>
  <si>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</si>
  <si>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</si>
  <si>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</si>
  <si>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</si>
  <si>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</si>
  <si>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</si>
  <si>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</si>
  <si>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</si>
  <si>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</si>
  <si>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</si>
  <si>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</si>
  <si>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</si>
  <si>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</si>
  <si>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</si>
  <si>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</si>
  <si>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</si>
  <si>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</si>
  <si>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</si>
  <si>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</si>
  <si>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</si>
  <si>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</si>
  <si>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</si>
  <si>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</si>
  <si>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</si>
  <si>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</si>
  <si>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</si>
  <si>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</si>
  <si>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</si>
  <si>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</si>
  <si>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</si>
  <si>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</si>
  <si>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</si>
  <si>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</si>
  <si>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</si>
  <si>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</si>
  <si>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</si>
  <si>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</si>
  <si>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</si>
  <si>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</si>
  <si>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</si>
  <si>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</si>
  <si>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</si>
  <si>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</si>
  <si>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</si>
  <si>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</si>
  <si>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</si>
  <si>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</si>
  <si>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</si>
  <si>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</si>
  <si>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</si>
  <si>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</si>
  <si>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</si>
  <si>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</si>
  <si>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</si>
  <si>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</si>
  <si>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</si>
  <si>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</si>
  <si>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</si>
  <si>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</si>
  <si>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</si>
  <si>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</si>
  <si>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</si>
  <si>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</si>
  <si>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</si>
  <si>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</si>
  <si>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</si>
  <si>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</si>
  <si>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</si>
  <si>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</si>
  <si>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</si>
  <si>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</si>
  <si>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</si>
  <si>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</si>
  <si>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</si>
  <si>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</si>
  <si>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</si>
  <si>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</si>
  <si>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</si>
  <si>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</si>
  <si>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</si>
  <si>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</si>
  <si>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</si>
  <si>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</si>
  <si>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</si>
  <si>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</si>
  <si>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</si>
  <si>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</si>
  <si>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</si>
  <si>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</si>
  <si>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</si>
  <si>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</si>
  <si>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</si>
  <si>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</si>
  <si>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</si>
  <si>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</si>
  <si>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</si>
  <si>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</si>
  <si>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</si>
  <si>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</si>
  <si>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</si>
  <si>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</si>
  <si>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</si>
  <si>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</si>
  <si>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</si>
  <si>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</si>
  <si>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</si>
  <si>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</si>
  <si>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</si>
  <si>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</si>
  <si>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</si>
  <si>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</si>
  <si>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</si>
  <si>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</si>
  <si>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</si>
  <si>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</si>
  <si>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</si>
  <si>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</si>
  <si>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</si>
  <si>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</si>
  <si>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</si>
  <si>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</si>
  <si>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</si>
  <si>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</si>
  <si>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</si>
  <si>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</si>
  <si>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</si>
  <si>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</si>
  <si>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</si>
  <si>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</si>
  <si>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</si>
  <si>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</si>
  <si>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</si>
  <si>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</si>
  <si>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</si>
  <si>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</si>
  <si>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</si>
  <si>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</si>
  <si>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</si>
  <si>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</si>
  <si>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</si>
  <si>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</si>
  <si>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</si>
  <si>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</si>
  <si>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</si>
  <si>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</si>
  <si>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</si>
  <si>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</si>
  <si>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</si>
  <si>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</si>
  <si>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</si>
  <si>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</si>
  <si>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</si>
  <si>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</si>
  <si>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</si>
  <si>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</si>
  <si>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</si>
  <si>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</si>
  <si>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</si>
  <si>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</si>
  <si>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</si>
  <si>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</si>
  <si>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</si>
  <si>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</si>
  <si>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</si>
  <si>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</si>
  <si>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</si>
  <si>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</si>
  <si>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</si>
  <si>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</si>
  <si>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</si>
  <si>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</si>
  <si>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</si>
  <si>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</si>
  <si>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</si>
  <si>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</si>
  <si>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</si>
  <si>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</si>
  <si>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</si>
  <si>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</si>
  <si>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</si>
  <si>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</si>
  <si>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</si>
  <si>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</si>
  <si>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</si>
  <si>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</si>
  <si>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</si>
  <si>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</si>
  <si>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</si>
  <si>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</si>
  <si>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</si>
  <si>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</si>
  <si>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</si>
  <si>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</si>
  <si>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</si>
  <si>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</si>
  <si>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</si>
  <si>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</si>
  <si>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</si>
  <si>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</si>
  <si>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</si>
  <si>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</si>
  <si>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</si>
  <si>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</si>
  <si>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</si>
  <si>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</si>
  <si>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</si>
  <si>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</si>
  <si>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</si>
  <si>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</si>
  <si>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</si>
  <si>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</si>
  <si>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</si>
  <si>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</si>
  <si>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</si>
  <si>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</si>
  <si>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</si>
  <si>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</si>
  <si>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</si>
  <si>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</si>
  <si>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</si>
  <si>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</si>
  <si>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</si>
  <si>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</si>
  <si>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</si>
  <si>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</si>
  <si>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</si>
  <si>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</si>
  <si>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</si>
  <si>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</si>
  <si>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</si>
  <si>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</si>
  <si>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</si>
  <si>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</si>
  <si>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</si>
  <si>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</si>
  <si>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</si>
  <si>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</si>
  <si>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</si>
  <si>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</si>
  <si>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</si>
  <si>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</si>
  <si>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</si>
  <si>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</si>
  <si>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</si>
  <si>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</si>
  <si>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</si>
  <si>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</si>
  <si>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</si>
  <si>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</si>
  <si>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</si>
  <si>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</si>
  <si>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</si>
  <si>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</si>
  <si>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</si>
  <si>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</si>
  <si>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</si>
  <si>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</si>
  <si>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</si>
  <si>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</si>
  <si>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</si>
  <si>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</si>
  <si>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</si>
  <si>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</si>
  <si>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</si>
  <si>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</si>
  <si>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</si>
  <si>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</si>
  <si>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</si>
  <si>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</si>
  <si>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</si>
  <si>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</si>
  <si>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</si>
  <si>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</si>
  <si>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</si>
  <si>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</si>
  <si>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</si>
  <si>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</si>
  <si>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</si>
  <si>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</si>
  <si>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</si>
  <si>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</si>
  <si>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</si>
  <si>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</si>
  <si>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</si>
  <si>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</si>
  <si>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</si>
  <si>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</si>
  <si>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</si>
  <si>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</si>
  <si>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</si>
  <si>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</si>
  <si>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</si>
  <si>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</si>
  <si>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</si>
  <si>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</si>
  <si>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</si>
  <si>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</si>
  <si>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</si>
  <si>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</si>
  <si>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</si>
  <si>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</si>
  <si>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</si>
  <si>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</si>
  <si>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</si>
  <si>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</si>
  <si>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</si>
  <si>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</si>
  <si>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</si>
  <si>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</si>
  <si>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</si>
  <si>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</si>
  <si>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</si>
  <si>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</si>
  <si>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</si>
  <si>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</si>
  <si>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</si>
  <si>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</si>
  <si>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</si>
  <si>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</si>
  <si>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</si>
  <si>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</si>
  <si>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</si>
  <si>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</si>
  <si>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</si>
  <si>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</si>
  <si>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</si>
  <si>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</si>
  <si>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</si>
  <si>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</si>
  <si>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</si>
  <si>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</si>
  <si>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</si>
  <si>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</si>
  <si>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</si>
  <si>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</si>
  <si>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</si>
  <si>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</si>
  <si>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</si>
  <si>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</si>
  <si>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</si>
  <si>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</si>
  <si>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</si>
  <si>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</si>
  <si>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</si>
  <si>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</si>
  <si>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</si>
  <si>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</si>
  <si>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</si>
  <si>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</si>
  <si>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</si>
  <si>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</si>
  <si>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</si>
  <si>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</si>
  <si>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</si>
  <si>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</si>
  <si>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</si>
  <si>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</si>
  <si>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</si>
  <si>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</si>
  <si>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</si>
  <si>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</si>
  <si>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</si>
  <si>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</si>
  <si>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</si>
  <si>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</si>
  <si>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</si>
  <si>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</si>
  <si>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</si>
  <si>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</si>
  <si>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</si>
  <si>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</si>
  <si>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</si>
  <si>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</si>
  <si>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</si>
  <si>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</si>
  <si>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</si>
  <si>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</si>
  <si>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</si>
  <si>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</si>
  <si>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</si>
  <si>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</si>
  <si>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</si>
  <si>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</si>
  <si>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</si>
  <si>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</si>
  <si>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</si>
  <si>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</si>
  <si>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</si>
  <si>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</si>
  <si>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</si>
  <si>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</si>
  <si>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</si>
  <si>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</si>
  <si>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</si>
  <si>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</si>
  <si>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</si>
  <si>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</si>
  <si>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</si>
  <si>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</si>
  <si>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</si>
  <si>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</si>
  <si>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</si>
  <si>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</si>
  <si>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</si>
  <si>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</si>
  <si>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</si>
  <si>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</si>
  <si>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</si>
  <si>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</si>
  <si>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</si>
  <si>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</si>
  <si>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</si>
  <si>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</si>
  <si>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</si>
  <si>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</si>
  <si>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</si>
  <si>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</si>
  <si>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</si>
  <si>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</si>
  <si>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</si>
  <si>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</si>
  <si>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</si>
  <si>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</si>
  <si>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</si>
  <si>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</si>
  <si>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</si>
  <si>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</si>
  <si>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</si>
  <si>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</si>
  <si>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</si>
  <si>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</si>
  <si>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</si>
  <si>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</si>
  <si>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</si>
  <si>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</si>
  <si>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</si>
  <si>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</si>
  <si>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</si>
  <si>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</si>
  <si>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</si>
  <si>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</si>
  <si>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</si>
  <si>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</si>
  <si>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</si>
  <si>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</si>
  <si>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</si>
  <si>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</si>
  <si>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</si>
  <si>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</si>
  <si>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</si>
  <si>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</si>
  <si>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</si>
  <si>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</si>
  <si>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</si>
  <si>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</si>
  <si>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</si>
  <si>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</si>
  <si>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</si>
  <si>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</si>
  <si>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</si>
  <si>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</si>
  <si>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</si>
  <si>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</si>
  <si>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</si>
  <si>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</si>
  <si>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</si>
  <si>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</si>
  <si>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</si>
  <si>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</si>
  <si>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</si>
  <si>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</si>
  <si>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</si>
  <si>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</si>
  <si>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</si>
  <si>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</si>
  <si>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</si>
  <si>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</si>
  <si>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</si>
  <si>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</si>
  <si>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</si>
  <si>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</si>
  <si>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</si>
  <si>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</si>
  <si>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</si>
  <si>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</si>
  <si>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</si>
  <si>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</si>
  <si>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</si>
  <si>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</si>
  <si>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</si>
  <si>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</si>
  <si>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</si>
  <si>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</si>
  <si>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</si>
  <si>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</si>
  <si>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</si>
  <si>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</si>
  <si>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</si>
  <si>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</si>
  <si>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</si>
  <si>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</si>
  <si>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</si>
  <si>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</si>
  <si>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</si>
  <si>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</si>
  <si>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</si>
  <si>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</si>
  <si>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</si>
  <si>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</si>
  <si>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</si>
  <si>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</si>
  <si>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</si>
  <si>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</si>
  <si>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</si>
  <si>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</si>
  <si>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</si>
  <si>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</si>
  <si>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</si>
  <si>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</si>
  <si>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</si>
  <si>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</si>
  <si>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</si>
  <si>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</si>
  <si>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</si>
  <si>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</si>
  <si>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</si>
  <si>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</si>
  <si>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</si>
  <si>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</si>
  <si>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</si>
  <si>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</si>
  <si>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</si>
  <si>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</si>
  <si>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</si>
  <si>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</si>
  <si>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</si>
  <si>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</si>
  <si>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</si>
  <si>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</si>
  <si>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</si>
  <si>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</si>
  <si>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</si>
  <si>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</si>
  <si>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</si>
  <si>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</si>
  <si>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</si>
  <si>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</si>
  <si>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</si>
  <si>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</si>
  <si>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</si>
  <si>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</si>
  <si>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</si>
  <si>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</si>
  <si>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</si>
  <si>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</si>
  <si>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</si>
  <si>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</si>
  <si>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</si>
  <si>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</si>
  <si>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</si>
  <si>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</si>
  <si>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</si>
  <si>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</si>
  <si>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</si>
  <si>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</si>
  <si>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</si>
  <si>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</si>
  <si>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</si>
  <si>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</si>
  <si>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</si>
  <si>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</si>
  <si>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</si>
  <si>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</si>
  <si>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</si>
  <si>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</si>
  <si>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</si>
  <si>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</si>
  <si>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</si>
  <si>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</si>
  <si>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</si>
  <si>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</si>
  <si>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</si>
  <si>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</si>
  <si>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</si>
  <si>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</si>
  <si>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</si>
  <si>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</si>
  <si>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</si>
  <si>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</si>
  <si>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</si>
  <si>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</si>
  <si>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</si>
  <si>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</si>
  <si>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</si>
  <si>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</si>
  <si>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</si>
  <si>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</si>
  <si>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</si>
  <si>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</si>
  <si>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</si>
  <si>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</si>
  <si>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</si>
  <si>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</si>
  <si>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</si>
  <si>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</si>
  <si>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</si>
  <si>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</si>
  <si>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</si>
  <si>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</si>
  <si>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</si>
  <si>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</si>
  <si>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</si>
  <si>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</si>
  <si>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</si>
  <si>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</si>
  <si>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</si>
  <si>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</si>
  <si>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</si>
  <si>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</si>
  <si>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</si>
  <si>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</si>
  <si>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</si>
  <si>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</si>
  <si>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</si>
  <si>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</si>
  <si>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</si>
  <si>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</si>
  <si>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</si>
  <si>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</si>
  <si>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</si>
  <si>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</si>
  <si>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</si>
  <si>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</si>
  <si>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</si>
  <si>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</si>
  <si>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</si>
  <si>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</si>
  <si>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</si>
  <si>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</si>
  <si>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</si>
  <si>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</si>
  <si>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</si>
  <si>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</si>
  <si>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</si>
  <si>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</si>
  <si>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</si>
  <si>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</si>
  <si>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</si>
  <si>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</si>
  <si>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</si>
  <si>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</si>
  <si>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</si>
  <si>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</si>
  <si>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</si>
  <si>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</si>
  <si>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</si>
  <si>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</si>
  <si>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</si>
  <si>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</si>
  <si>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</si>
  <si>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</si>
  <si>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</si>
  <si>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</si>
  <si>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</si>
  <si>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</si>
  <si>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</si>
  <si>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</si>
  <si>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</si>
  <si>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</si>
  <si>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</si>
  <si>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</si>
  <si>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</si>
  <si>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</si>
  <si>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</si>
  <si>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</si>
  <si>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</si>
  <si>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</si>
  <si>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</si>
  <si>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</si>
  <si>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</si>
  <si>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</si>
  <si>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</si>
  <si>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</si>
  <si>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</si>
  <si>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</si>
  <si>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</si>
  <si>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</si>
  <si>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</si>
  <si>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</si>
  <si>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</si>
  <si>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</si>
  <si>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</si>
  <si>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</si>
  <si>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</si>
  <si>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</si>
  <si>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</si>
  <si>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</si>
  <si>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</si>
  <si>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</si>
  <si>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</si>
  <si>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</si>
  <si>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</si>
  <si>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</si>
  <si>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</si>
  <si>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</si>
  <si>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</si>
  <si>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</si>
  <si>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</si>
  <si>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</si>
  <si>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</si>
  <si>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</si>
  <si>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</si>
  <si>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</si>
  <si>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</si>
  <si>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</si>
  <si>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</si>
  <si>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</si>
  <si>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</si>
  <si>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</si>
  <si>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</si>
  <si>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</si>
  <si>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</si>
  <si>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</si>
  <si>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</si>
  <si>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</si>
  <si>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</si>
  <si>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</si>
  <si>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</si>
  <si>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</si>
  <si>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</si>
  <si>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</si>
  <si>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</si>
  <si>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</si>
  <si>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</si>
  <si>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</si>
  <si>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</si>
  <si>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</si>
  <si>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</si>
  <si>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</si>
  <si>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</si>
  <si>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</si>
  <si>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</si>
  <si>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</si>
  <si>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</si>
  <si>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</si>
  <si>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</si>
  <si>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</si>
  <si>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</si>
  <si>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</si>
  <si>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</si>
  <si>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</si>
  <si>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</si>
  <si>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</si>
  <si>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</si>
  <si>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</si>
  <si>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</si>
  <si>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</si>
  <si>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</si>
  <si>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</si>
  <si>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</si>
  <si>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</si>
  <si>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</si>
  <si>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</si>
  <si>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</si>
  <si>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</si>
  <si>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</si>
  <si>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</si>
  <si>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</si>
  <si>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</si>
  <si>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</si>
  <si>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</si>
  <si>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</si>
  <si>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</si>
  <si>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</si>
  <si>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</si>
  <si>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</si>
  <si>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</si>
  <si>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</si>
  <si>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</si>
  <si>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</si>
  <si>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</si>
  <si>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</si>
  <si>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</si>
  <si>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</si>
  <si>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</si>
  <si>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</si>
  <si>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</si>
  <si>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</si>
  <si>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</si>
  <si>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</si>
  <si>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</si>
  <si>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</si>
  <si>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</si>
  <si>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</si>
  <si>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</si>
  <si>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</si>
  <si>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</si>
  <si>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</si>
  <si>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</si>
  <si>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</si>
  <si>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</si>
  <si>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</si>
  <si>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</si>
  <si>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</si>
  <si>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</si>
  <si>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</si>
  <si>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</si>
  <si>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</si>
  <si>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</si>
  <si>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</si>
  <si>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</si>
  <si>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</si>
  <si>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</si>
  <si>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</si>
  <si>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</si>
  <si>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</si>
  <si>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</si>
  <si>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</si>
  <si>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</si>
  <si>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</si>
  <si>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</si>
  <si>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</si>
  <si>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</si>
  <si>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</si>
  <si>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</si>
  <si>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</si>
  <si>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</si>
  <si>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</si>
  <si>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</si>
  <si>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</si>
  <si>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</si>
  <si>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</si>
  <si>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</si>
  <si>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</si>
  <si>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</si>
  <si>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</si>
  <si>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</si>
  <si>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</si>
  <si>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</si>
  <si>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</si>
  <si>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</si>
  <si>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</si>
  <si>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</si>
  <si>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</si>
  <si>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</si>
  <si>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</si>
  <si>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</si>
  <si>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</si>
  <si>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</si>
  <si>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</si>
  <si>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</si>
  <si>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</si>
  <si>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</si>
  <si>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</si>
  <si>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</si>
  <si>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</si>
  <si>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</si>
  <si>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</si>
  <si>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</si>
  <si>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</si>
  <si>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</si>
  <si>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</si>
  <si>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</si>
  <si>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</si>
  <si>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</si>
  <si>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</si>
  <si>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</si>
  <si>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</si>
  <si>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</si>
  <si>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</si>
  <si>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</si>
  <si>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</si>
  <si>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</si>
  <si>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</si>
  <si>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</si>
  <si>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</si>
  <si>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</si>
  <si>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</si>
  <si>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</si>
  <si>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</si>
  <si>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</si>
  <si>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</si>
  <si>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</si>
  <si>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</si>
  <si>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</si>
  <si>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</si>
  <si>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</si>
  <si>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</si>
  <si>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</si>
  <si>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</si>
  <si>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</si>
  <si>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</si>
  <si>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</si>
  <si>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</si>
  <si>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</si>
  <si>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</si>
  <si>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</si>
  <si>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</si>
  <si>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</si>
  <si>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</si>
  <si>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</si>
  <si>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</si>
  <si>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</si>
  <si>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</si>
  <si>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</si>
  <si>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</si>
  <si>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</si>
  <si>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</si>
  <si>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</si>
  <si>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</si>
  <si>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</si>
  <si>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</si>
  <si>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</si>
  <si>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</si>
  <si>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</si>
  <si>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</si>
  <si>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</si>
  <si>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</si>
  <si>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</si>
  <si>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</si>
  <si>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</si>
  <si>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</si>
  <si>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</si>
  <si>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</si>
  <si>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</si>
  <si>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</si>
  <si>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</si>
  <si>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</si>
  <si>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</si>
  <si>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</si>
  <si>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</si>
  <si>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</si>
  <si>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</si>
  <si>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</si>
  <si>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</si>
  <si>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</si>
  <si>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</si>
  <si>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</si>
  <si>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</si>
  <si>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</si>
  <si>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</si>
  <si>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</si>
  <si>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</si>
  <si>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</si>
  <si>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</si>
  <si>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</si>
  <si>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</si>
  <si>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</si>
  <si>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</si>
  <si>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</si>
  <si>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</si>
  <si>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</si>
  <si>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</si>
  <si>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</si>
  <si>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</si>
  <si>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</si>
  <si>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</si>
  <si>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</si>
  <si>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</si>
  <si>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</si>
  <si>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</si>
  <si>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</si>
  <si>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</si>
  <si>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</si>
  <si>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</si>
  <si>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</si>
  <si>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</si>
  <si>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</si>
  <si>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</si>
  <si>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</si>
  <si>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</si>
  <si>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</si>
  <si>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</si>
  <si>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</si>
  <si>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</si>
  <si>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</si>
  <si>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</si>
  <si>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</si>
  <si>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</si>
  <si>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</si>
  <si>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</si>
  <si>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</si>
  <si>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</si>
  <si>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</si>
  <si>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</si>
  <si>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</si>
  <si>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</si>
  <si>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</si>
  <si>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</si>
  <si>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</si>
  <si>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</si>
  <si>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</si>
  <si>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</si>
  <si>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</si>
  <si>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</si>
  <si>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</si>
  <si>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</si>
  <si>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</si>
  <si>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</si>
  <si>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</si>
  <si>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</si>
  <si>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</si>
  <si>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</si>
  <si>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</si>
  <si>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</si>
  <si>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</si>
  <si>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</si>
  <si>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</si>
  <si>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</si>
  <si>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</si>
  <si>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</si>
  <si>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</si>
  <si>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</si>
  <si>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</si>
  <si>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</si>
  <si>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</si>
  <si>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</si>
  <si>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</si>
  <si>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</si>
  <si>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</si>
  <si>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</si>
  <si>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</si>
  <si>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</si>
  <si>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</si>
  <si>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</si>
  <si>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</si>
  <si>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</si>
  <si>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</si>
  <si>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</si>
  <si>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</si>
  <si>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</si>
  <si>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</si>
  <si>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</si>
  <si>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</si>
  <si>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</si>
  <si>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</si>
  <si>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</si>
  <si>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</si>
  <si>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</si>
  <si>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</si>
  <si>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</si>
  <si>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</si>
  <si>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</si>
  <si>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</si>
  <si>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</si>
  <si>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</si>
  <si>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</si>
  <si>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</si>
  <si>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</si>
  <si>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</si>
  <si>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</si>
  <si>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</si>
  <si>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</si>
  <si>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</si>
  <si>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</si>
  <si>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</si>
  <si>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</si>
  <si>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</si>
  <si>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</si>
  <si>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</si>
  <si>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</si>
  <si>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</si>
  <si>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</si>
  <si>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</si>
  <si>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</si>
  <si>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</si>
  <si>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</si>
  <si>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</si>
  <si>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</si>
  <si>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</si>
  <si>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</si>
  <si>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</si>
  <si>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</si>
  <si>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</si>
  <si>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</si>
  <si>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</si>
  <si>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</si>
  <si>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</si>
  <si>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</si>
  <si>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</si>
  <si>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</si>
  <si>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</si>
  <si>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</si>
  <si>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</si>
  <si>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</si>
  <si>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</si>
  <si>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</si>
  <si>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</si>
  <si>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</si>
  <si>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</si>
  <si>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</si>
  <si>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</si>
  <si>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</si>
  <si>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</si>
  <si>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</si>
  <si>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</si>
  <si>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</si>
  <si>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</si>
  <si>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</si>
  <si>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</si>
  <si>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</si>
  <si>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</si>
  <si>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</si>
  <si>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</si>
  <si>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</si>
  <si>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</si>
  <si>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</si>
  <si>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</si>
  <si>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</si>
  <si>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</si>
  <si>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</si>
  <si>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</si>
  <si>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</si>
  <si>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</si>
  <si>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</si>
  <si>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</si>
  <si>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</si>
  <si>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</si>
  <si>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</si>
  <si>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</si>
  <si>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</si>
  <si>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</si>
  <si>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</si>
  <si>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</si>
  <si>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</si>
  <si>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</si>
  <si>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</si>
  <si>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</si>
  <si>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</si>
  <si>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</si>
  <si>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</si>
  <si>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</si>
  <si>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</si>
  <si>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</si>
  <si>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</si>
  <si>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</si>
  <si>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</si>
  <si>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</si>
  <si>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</si>
  <si>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</si>
  <si>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</si>
  <si>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</si>
  <si>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</si>
  <si>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</si>
  <si>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</si>
  <si>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</si>
  <si>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</si>
  <si>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</si>
  <si>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</si>
  <si>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</si>
  <si>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</si>
  <si>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</si>
  <si>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</si>
  <si>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</si>
  <si>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</si>
  <si>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</si>
  <si>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</si>
  <si>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</si>
  <si>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</si>
  <si>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</si>
  <si>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</si>
  <si>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</si>
  <si>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</si>
  <si>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</si>
  <si>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</si>
  <si>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</si>
  <si>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</si>
  <si>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</si>
  <si>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</si>
  <si>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</si>
  <si>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</si>
  <si>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</si>
  <si>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</si>
  <si>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</si>
  <si>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</si>
  <si>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</si>
  <si>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</si>
  <si>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</si>
  <si>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</si>
  <si>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</si>
  <si>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</si>
  <si>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</si>
  <si>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</si>
  <si>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</si>
  <si>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</si>
  <si>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</si>
  <si>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</si>
  <si>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</si>
  <si>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</si>
  <si>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</si>
  <si>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</si>
  <si>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</si>
  <si>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</si>
  <si>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</si>
  <si>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</si>
  <si>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</si>
  <si>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</si>
  <si>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</si>
  <si>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</si>
  <si>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</si>
  <si>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</si>
  <si>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</si>
  <si>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</si>
  <si>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</si>
  <si>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</si>
  <si>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</si>
  <si>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</si>
  <si>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</si>
  <si>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</si>
  <si>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</si>
  <si>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</si>
  <si>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</si>
  <si>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</si>
  <si>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</si>
  <si>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</si>
  <si>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</si>
  <si>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</si>
  <si>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</si>
  <si>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</si>
  <si>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</si>
  <si>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</si>
  <si>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</si>
  <si>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</si>
  <si>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</si>
  <si>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</si>
  <si>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</si>
  <si>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</si>
  <si>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</si>
  <si>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</si>
  <si>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</si>
  <si>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</si>
  <si>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</si>
  <si>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</si>
  <si>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</si>
  <si>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</si>
  <si>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</si>
  <si>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</si>
  <si>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</si>
  <si>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</si>
  <si>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</si>
  <si>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</si>
  <si>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</si>
  <si>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</si>
  <si>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</si>
  <si>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</si>
  <si>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</si>
  <si>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</si>
  <si>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</si>
  <si>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</si>
  <si>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</si>
  <si>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</si>
  <si>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</si>
  <si>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</si>
  <si>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</si>
  <si>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</si>
  <si>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</si>
  <si>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</si>
  <si>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</si>
  <si>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</si>
  <si>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</si>
  <si>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</si>
  <si>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</si>
  <si>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</si>
  <si>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</si>
  <si>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</si>
  <si>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</si>
  <si>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</si>
  <si>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</si>
  <si>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</si>
  <si>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</si>
  <si>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</si>
  <si>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</si>
  <si>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</si>
  <si>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</si>
  <si>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</si>
  <si>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</si>
  <si>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</si>
  <si>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</si>
  <si>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</si>
  <si>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</si>
  <si>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</si>
  <si>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</si>
  <si>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</si>
  <si>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</si>
  <si>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</si>
  <si>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</si>
  <si>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</si>
  <si>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</si>
  <si>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</si>
  <si>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</si>
  <si>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</si>
  <si>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</si>
  <si>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</si>
  <si>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</si>
  <si>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</si>
  <si>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</si>
  <si>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</si>
  <si>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</si>
  <si>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</si>
  <si>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</si>
  <si>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</si>
  <si>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</si>
  <si>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</si>
  <si>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</si>
  <si>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</si>
  <si>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</si>
  <si>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</si>
  <si>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</si>
  <si>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</si>
  <si>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</si>
  <si>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</si>
  <si>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</si>
  <si>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</si>
  <si>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</si>
  <si>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</si>
  <si>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</si>
  <si>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</si>
  <si>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</si>
  <si>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</si>
  <si>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</si>
  <si>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</si>
  <si>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</si>
  <si>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</si>
  <si>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</si>
  <si>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</si>
  <si>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</si>
  <si>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</si>
  <si>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</si>
  <si>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</si>
  <si>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</si>
  <si>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</si>
  <si>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</si>
  <si>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</si>
  <si>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</si>
  <si>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</si>
  <si>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</si>
  <si>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</si>
  <si>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</si>
  <si>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</si>
  <si>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</si>
  <si>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</si>
  <si>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</si>
  <si>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</si>
  <si>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</si>
  <si>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</si>
  <si>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</si>
  <si>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</si>
  <si>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</si>
  <si>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</si>
  <si>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</si>
  <si>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</si>
  <si>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</si>
  <si>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</si>
  <si>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</si>
  <si>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</si>
  <si>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</si>
  <si>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</si>
  <si>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</si>
  <si>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</si>
  <si>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</si>
  <si>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</si>
  <si>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</si>
  <si>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</si>
  <si>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</si>
  <si>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</si>
  <si>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</si>
  <si>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</si>
  <si>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</si>
  <si>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</si>
  <si>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</si>
  <si>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</si>
  <si>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</si>
  <si>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</si>
  <si>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</si>
  <si>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</si>
  <si>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</si>
  <si>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</si>
  <si>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</si>
  <si>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</si>
  <si>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</si>
  <si>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</si>
  <si>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</si>
  <si>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</si>
  <si>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</si>
  <si>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</si>
  <si>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</si>
  <si>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</si>
  <si>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</si>
  <si>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</si>
  <si>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</si>
  <si>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</si>
  <si>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</si>
  <si>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</si>
  <si>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</si>
  <si>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</si>
  <si>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</si>
  <si>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</si>
  <si>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</si>
  <si>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</si>
  <si>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</si>
  <si>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</si>
  <si>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</si>
  <si>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</si>
  <si>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</si>
  <si>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</si>
  <si>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</si>
  <si>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</si>
  <si>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</si>
  <si>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</si>
  <si>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</si>
  <si>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</si>
  <si>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</si>
  <si>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</si>
  <si>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</si>
  <si>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</si>
  <si>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</si>
  <si>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</si>
  <si>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</si>
  <si>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</si>
  <si>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</si>
  <si>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</si>
  <si>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</si>
  <si>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</si>
  <si>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</si>
  <si>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</si>
  <si>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</si>
  <si>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</si>
  <si>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</si>
  <si>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</si>
  <si>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</si>
  <si>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</si>
  <si>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</si>
  <si>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</si>
  <si>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</si>
  <si>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</si>
  <si>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</si>
  <si>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</si>
  <si>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</si>
  <si>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</si>
  <si>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</si>
  <si>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</si>
  <si>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</si>
  <si>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</si>
  <si>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</si>
  <si>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</si>
  <si>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</si>
  <si>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</si>
  <si>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</si>
  <si>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</si>
  <si>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</si>
  <si>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</si>
  <si>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</si>
  <si>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</si>
  <si>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</si>
  <si>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</si>
  <si>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</si>
  <si>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</si>
  <si>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</si>
  <si>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</si>
  <si>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</si>
  <si>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</si>
  <si>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</si>
  <si>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</si>
  <si>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</si>
  <si>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</si>
  <si>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</si>
  <si>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</si>
  <si>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</si>
  <si>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</si>
  <si>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</si>
  <si>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</si>
  <si>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</si>
  <si>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</si>
  <si>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</si>
  <si>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</si>
  <si>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</si>
  <si>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</si>
  <si>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</si>
  <si>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</si>
  <si>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</si>
  <si>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</si>
  <si>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</si>
  <si>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</si>
  <si>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</si>
  <si>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</si>
  <si>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</si>
  <si>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</si>
  <si>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</si>
  <si>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</si>
  <si>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</si>
  <si>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</si>
  <si>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</si>
  <si>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</si>
  <si>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</si>
  <si>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</si>
  <si>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</si>
  <si>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</si>
  <si>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</si>
  <si>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</si>
  <si>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</si>
  <si>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</si>
  <si>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</si>
  <si>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</si>
  <si>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</si>
  <si>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</si>
  <si>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</si>
  <si>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</si>
  <si>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</si>
  <si>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</si>
  <si>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</si>
  <si>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</si>
  <si>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</si>
  <si>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</si>
  <si>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</si>
  <si>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</si>
  <si>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</si>
  <si>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</si>
  <si>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</si>
  <si>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</si>
  <si>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</si>
  <si>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</si>
  <si>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</si>
  <si>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</si>
  <si>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</si>
  <si>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</si>
  <si>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</si>
  <si>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</si>
  <si>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</si>
  <si>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</si>
  <si>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</si>
  <si>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</si>
  <si>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</si>
  <si>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</si>
  <si>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</si>
  <si>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</si>
  <si>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</si>
  <si>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</si>
  <si>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</si>
  <si>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</si>
  <si>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</si>
  <si>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</si>
  <si>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</si>
  <si>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</si>
  <si>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</si>
  <si>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</si>
  <si>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</si>
  <si>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</si>
  <si>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</si>
  <si>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</si>
  <si>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</si>
  <si>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</si>
  <si>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</si>
  <si>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</si>
  <si>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</si>
  <si>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</si>
  <si>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</si>
  <si>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</si>
  <si>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</si>
  <si>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</si>
  <si>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</si>
  <si>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</si>
  <si>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</si>
  <si>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</si>
  <si>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</si>
  <si>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</si>
  <si>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</si>
  <si>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</si>
  <si>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</si>
  <si>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</si>
  <si>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</si>
  <si>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</si>
  <si>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</si>
  <si>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</si>
  <si>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</si>
  <si>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</si>
  <si>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</si>
  <si>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</si>
  <si>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</si>
  <si>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</si>
  <si>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</si>
  <si>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</si>
  <si>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</si>
  <si>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</si>
  <si>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</si>
  <si>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</si>
  <si>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</si>
  <si>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</si>
  <si>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</si>
  <si>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</si>
  <si>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</si>
  <si>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</si>
  <si>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</si>
  <si>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</si>
  <si>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</si>
  <si>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</si>
  <si>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</si>
  <si>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</si>
  <si>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</si>
  <si>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</si>
  <si>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</si>
  <si>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</si>
  <si>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</si>
  <si>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</si>
  <si>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</si>
  <si>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</si>
  <si>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</si>
  <si>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</si>
  <si>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</si>
  <si>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</si>
  <si>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</si>
  <si>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</si>
  <si>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</si>
  <si>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</si>
  <si>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</si>
  <si>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</si>
  <si>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</si>
  <si>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</si>
  <si>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</si>
  <si>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</si>
  <si>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</si>
  <si>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</si>
  <si>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</si>
  <si>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</si>
  <si>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</si>
  <si>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</si>
  <si>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</si>
  <si>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</si>
  <si>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</si>
  <si>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</si>
  <si>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</si>
  <si>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</si>
  <si>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</si>
  <si>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</si>
  <si>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</si>
  <si>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</si>
  <si>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</si>
  <si>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</si>
  <si>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</si>
  <si>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</si>
  <si>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</si>
  <si>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</si>
  <si>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</si>
  <si>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</si>
  <si>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</si>
  <si>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</si>
  <si>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</si>
  <si>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</si>
  <si>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</si>
  <si>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</si>
  <si>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</si>
  <si>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</si>
  <si>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</si>
  <si>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</si>
  <si>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</si>
  <si>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</si>
  <si>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</si>
  <si>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</si>
  <si>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</si>
  <si>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</si>
  <si>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</si>
  <si>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</si>
  <si>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</si>
  <si>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</si>
  <si>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</si>
  <si>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</si>
  <si>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</si>
  <si>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</si>
  <si>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</si>
  <si>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</si>
  <si>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</si>
  <si>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</si>
  <si>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</si>
  <si>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</si>
  <si>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</si>
  <si>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</si>
  <si>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</si>
  <si>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</si>
  <si>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</si>
  <si>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</si>
  <si>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</si>
  <si>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</si>
  <si>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</si>
  <si>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</si>
  <si>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</si>
  <si>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</si>
  <si>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</si>
  <si>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</si>
  <si>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</si>
  <si>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</si>
  <si>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</si>
  <si>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</si>
  <si>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</si>
  <si>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</si>
  <si>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</si>
  <si>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</si>
  <si>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</si>
  <si>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</si>
  <si>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</si>
  <si>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</si>
  <si>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</si>
  <si>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</si>
  <si>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</si>
  <si>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</si>
  <si>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</si>
  <si>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</si>
  <si>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</si>
  <si>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</si>
  <si>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</si>
  <si>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</si>
  <si>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</si>
  <si>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</si>
  <si>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</si>
  <si>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</si>
  <si>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</si>
  <si>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</si>
  <si>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</si>
  <si>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</si>
  <si>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</si>
  <si>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</si>
  <si>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</si>
  <si>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</si>
  <si>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</si>
  <si>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</si>
  <si>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</si>
  <si>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</si>
  <si>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</si>
  <si>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</si>
  <si>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</si>
  <si>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</si>
  <si>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</si>
  <si>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</si>
  <si>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</si>
  <si>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</si>
  <si>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</si>
  <si>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</si>
  <si>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</si>
  <si>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</si>
  <si>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</si>
  <si>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</si>
  <si>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</si>
  <si>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</si>
  <si>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</si>
  <si>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</si>
  <si>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</si>
  <si>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</si>
  <si>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</si>
  <si>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</si>
  <si>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</si>
  <si>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</si>
  <si>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</si>
  <si>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</si>
  <si>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</si>
  <si>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</si>
  <si>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</si>
  <si>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</si>
  <si>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</si>
  <si>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</si>
  <si>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</si>
  <si>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</si>
  <si>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</si>
  <si>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</si>
  <si>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</si>
  <si>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</si>
  <si>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</si>
  <si>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</si>
  <si>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</si>
  <si>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</si>
  <si>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</si>
  <si>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</si>
  <si>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</si>
  <si>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</si>
  <si>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</si>
  <si>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</si>
  <si>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</si>
  <si>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</si>
  <si>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</si>
  <si>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</si>
  <si>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</si>
  <si>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</si>
  <si>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</si>
  <si>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</si>
  <si>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</si>
  <si>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</si>
  <si>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</si>
  <si>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</si>
  <si>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</si>
  <si>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</si>
  <si>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</si>
  <si>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</si>
  <si>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</si>
  <si>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</si>
  <si>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</si>
  <si>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</si>
  <si>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</si>
  <si>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</si>
  <si>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</si>
  <si>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</si>
  <si>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</si>
  <si>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</si>
  <si>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</si>
  <si>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</si>
  <si>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</si>
  <si>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</si>
  <si>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</si>
  <si>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</si>
  <si>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</si>
  <si>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</si>
  <si>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</si>
  <si>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</si>
  <si>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</si>
  <si>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</si>
  <si>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</si>
  <si>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</si>
  <si>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</si>
  <si>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</si>
  <si>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</si>
  <si>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</si>
  <si>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</si>
  <si>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</si>
  <si>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</si>
  <si>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</si>
  <si>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</si>
  <si>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</si>
  <si>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</si>
  <si>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</si>
  <si>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</si>
  <si>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</si>
  <si>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</si>
  <si>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</si>
  <si>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</si>
  <si>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</si>
  <si>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</si>
  <si>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</si>
  <si>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</si>
  <si>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</si>
  <si>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</si>
  <si>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</si>
  <si>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</si>
  <si>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</si>
  <si>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</si>
  <si>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</si>
  <si>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</si>
  <si>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</si>
  <si>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</si>
  <si>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</si>
  <si>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</si>
  <si>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</si>
  <si>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</si>
  <si>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</si>
  <si>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</si>
  <si>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</si>
  <si>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</si>
  <si>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</si>
  <si>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</si>
  <si>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</si>
  <si>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</si>
  <si>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</si>
  <si>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</si>
  <si>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</si>
  <si>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</si>
  <si>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</si>
  <si>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</si>
  <si>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</si>
  <si>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</si>
  <si>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</si>
  <si>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</si>
  <si>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</si>
  <si>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</si>
  <si>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</si>
  <si>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</si>
  <si>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</si>
  <si>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</si>
  <si>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</si>
  <si>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</si>
  <si>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</si>
  <si>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</si>
  <si>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</si>
  <si>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</si>
  <si>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</si>
  <si>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</si>
  <si>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</si>
  <si>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</si>
  <si>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</si>
  <si>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</si>
  <si>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</si>
  <si>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</si>
  <si>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</si>
  <si>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</si>
  <si>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</si>
  <si>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</si>
  <si>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</si>
  <si>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</si>
  <si>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</si>
  <si>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</si>
  <si>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</si>
  <si>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</si>
  <si>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</si>
  <si>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</si>
  <si>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</si>
  <si>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</si>
  <si>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</si>
  <si>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</si>
  <si>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</si>
  <si>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</si>
  <si>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</si>
  <si>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</si>
  <si>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</si>
  <si>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</si>
  <si>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</si>
  <si>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</si>
  <si>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</si>
  <si>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</si>
  <si>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</si>
  <si>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</si>
  <si>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</si>
  <si>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</si>
  <si>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</si>
  <si>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</si>
  <si>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</si>
  <si>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</si>
  <si>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</si>
  <si>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</si>
  <si>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</si>
  <si>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</si>
  <si>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</si>
  <si>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</si>
  <si>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</si>
  <si>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</si>
  <si>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</si>
  <si>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</si>
  <si>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</si>
  <si>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</si>
  <si>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</si>
  <si>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</si>
  <si>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</si>
  <si>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</si>
  <si>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</si>
  <si>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</si>
  <si>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</si>
  <si>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</si>
  <si>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</si>
  <si>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</si>
  <si>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</si>
  <si>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</si>
  <si>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</si>
  <si>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</si>
  <si>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</si>
  <si>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</si>
  <si>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</si>
  <si>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</si>
  <si>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</si>
  <si>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</si>
  <si>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</si>
  <si>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</si>
  <si>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</si>
  <si>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</si>
  <si>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</si>
  <si>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</si>
  <si>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</si>
  <si>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</si>
  <si>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</si>
  <si>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</si>
  <si>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</si>
  <si>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</si>
  <si>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</si>
  <si>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</si>
  <si>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</si>
  <si>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</si>
  <si>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</si>
  <si>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</si>
  <si>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</si>
  <si>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</si>
  <si>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</si>
  <si>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</si>
  <si>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</si>
  <si>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</si>
  <si>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</si>
  <si>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</si>
  <si>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</si>
  <si>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</si>
  <si>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</si>
  <si>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</si>
  <si>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</si>
  <si>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</si>
  <si>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</si>
  <si>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</si>
  <si>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</si>
  <si>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</si>
  <si>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</si>
  <si>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</si>
  <si>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</si>
  <si>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</si>
  <si>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</si>
  <si>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</si>
  <si>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</si>
  <si>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</si>
  <si>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</si>
  <si>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</si>
  <si>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</si>
  <si>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</si>
  <si>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</si>
  <si>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</si>
  <si>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</si>
  <si>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</si>
  <si>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</si>
  <si>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</si>
  <si>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</si>
  <si>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</si>
  <si>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</si>
  <si>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</si>
  <si>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</si>
  <si>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</si>
  <si>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</si>
  <si>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</si>
  <si>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</si>
  <si>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</si>
  <si>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</si>
  <si>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</si>
  <si>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</si>
  <si>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</si>
  <si>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</si>
  <si>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</si>
  <si>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</si>
  <si>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</si>
  <si>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</si>
  <si>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</si>
  <si>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</si>
  <si>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</si>
  <si>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</si>
  <si>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</si>
  <si>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</si>
  <si>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</si>
  <si>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</si>
  <si>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</si>
  <si>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</si>
  <si>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</si>
  <si>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</si>
  <si>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</si>
  <si>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</si>
  <si>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</si>
  <si>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</si>
  <si>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</si>
  <si>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</si>
  <si>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</si>
  <si>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</si>
  <si>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</si>
  <si>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</si>
  <si>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</si>
  <si>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</si>
  <si>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</si>
  <si>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</si>
  <si>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</si>
  <si>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</si>
  <si>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</si>
  <si>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</si>
  <si>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</si>
  <si>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</si>
  <si>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</si>
  <si>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</si>
  <si>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</si>
  <si>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</si>
  <si>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</si>
  <si>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</si>
  <si>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</si>
  <si>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</si>
  <si>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</si>
  <si>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</si>
  <si>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</si>
  <si>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</si>
  <si>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</si>
  <si>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</si>
  <si>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</si>
  <si>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</si>
  <si>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</si>
  <si>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</si>
  <si>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</si>
  <si>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</si>
  <si>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</si>
  <si>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</si>
  <si>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</si>
  <si>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</si>
  <si>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</si>
  <si>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</si>
  <si>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</si>
  <si>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</si>
  <si>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</si>
  <si>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</si>
  <si>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</si>
  <si>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</si>
  <si>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</si>
  <si>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</si>
  <si>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</si>
  <si>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</si>
  <si>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</si>
  <si>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</si>
  <si>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</si>
  <si>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</si>
  <si>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</si>
  <si>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</si>
  <si>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</si>
  <si>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</si>
  <si>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</si>
  <si>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</si>
  <si>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</si>
  <si>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</si>
  <si>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</si>
  <si>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</si>
  <si>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</si>
  <si>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</si>
  <si>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</si>
  <si>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</si>
  <si>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</si>
  <si>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</si>
  <si>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</si>
  <si>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</si>
  <si>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</si>
  <si>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</si>
  <si>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</si>
  <si>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</si>
  <si>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</si>
  <si>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</si>
  <si>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</si>
  <si>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</si>
  <si>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</si>
  <si>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</si>
  <si>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</si>
  <si>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</si>
  <si>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</si>
  <si>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</si>
  <si>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</si>
  <si>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</si>
  <si>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</si>
  <si>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</si>
  <si>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</si>
  <si>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</si>
  <si>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</si>
  <si>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</si>
  <si>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</si>
  <si>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</si>
  <si>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</si>
  <si>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</si>
  <si>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</si>
  <si>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</si>
  <si>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</si>
  <si>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</si>
  <si>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</si>
  <si>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</si>
  <si>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</si>
  <si>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</si>
  <si>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</si>
  <si>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</si>
  <si>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</si>
  <si>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</si>
  <si>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</si>
  <si>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</si>
  <si>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</si>
  <si>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</si>
  <si>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</si>
  <si>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</si>
  <si>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</si>
  <si>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</si>
  <si>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</si>
  <si>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</si>
  <si>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</si>
  <si>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</si>
  <si>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</si>
  <si>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</si>
  <si>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</si>
  <si>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</si>
  <si>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</si>
  <si>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</si>
  <si>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</si>
  <si>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</si>
  <si>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</si>
  <si>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</si>
  <si>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</si>
  <si>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</si>
  <si>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</si>
  <si>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</si>
  <si>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</si>
  <si>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</si>
  <si>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</si>
  <si>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</si>
  <si>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</si>
  <si>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</si>
  <si>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</si>
  <si>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</si>
  <si>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</si>
  <si>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</si>
  <si>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</si>
  <si>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</si>
  <si>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</si>
  <si>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</si>
  <si>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</si>
  <si>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</si>
  <si>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</si>
  <si>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</si>
  <si>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</si>
  <si>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</si>
  <si>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</si>
  <si>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</si>
  <si>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</si>
  <si>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</si>
  <si>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</si>
  <si>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</si>
  <si>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</si>
  <si>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</si>
  <si>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</si>
  <si>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</si>
  <si>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</si>
  <si>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</si>
  <si>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</si>
  <si>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</si>
  <si>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</si>
  <si>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</si>
  <si>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</si>
  <si>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</si>
  <si>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</si>
  <si>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</si>
  <si>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</si>
  <si>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</si>
  <si>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</si>
  <si>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</si>
  <si>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</si>
  <si>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</si>
  <si>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</si>
  <si>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</si>
  <si>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</si>
  <si>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</si>
  <si>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</si>
  <si>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</si>
  <si>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</si>
  <si>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</si>
  <si>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</si>
  <si>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</si>
  <si>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</si>
  <si>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</si>
  <si>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</si>
  <si>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</si>
  <si>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</si>
  <si>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</si>
  <si>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</si>
  <si>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</si>
  <si>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</si>
  <si>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</si>
  <si>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</si>
  <si>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</si>
  <si>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</si>
  <si>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</si>
  <si>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</si>
  <si>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</si>
  <si>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</si>
  <si>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</si>
  <si>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</si>
  <si>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</si>
  <si>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</si>
  <si>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</si>
  <si>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</si>
  <si>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</si>
  <si>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</si>
  <si>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</si>
  <si>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</si>
  <si>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</si>
  <si>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</si>
  <si>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</si>
  <si>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</si>
  <si>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</si>
  <si>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</si>
  <si>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</si>
  <si>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</si>
  <si>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</si>
  <si>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</si>
  <si>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</si>
  <si>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</si>
  <si>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</si>
  <si>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</si>
  <si>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</si>
  <si>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</si>
  <si>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</si>
  <si>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</si>
  <si>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</si>
  <si>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</si>
  <si>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</si>
  <si>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</si>
  <si>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</si>
  <si>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</si>
  <si>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</si>
  <si>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</si>
  <si>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</si>
  <si>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</si>
  <si>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</si>
  <si>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</si>
  <si>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</si>
  <si>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</si>
  <si>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</si>
  <si>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</si>
  <si>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</si>
  <si>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</si>
  <si>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</si>
  <si>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</si>
  <si>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</si>
  <si>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</si>
  <si>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</si>
  <si>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</si>
  <si>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</si>
  <si>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</si>
  <si>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</si>
  <si>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</si>
  <si>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</si>
  <si>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</si>
  <si>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</si>
  <si>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</si>
  <si>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</si>
  <si>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</si>
  <si>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</si>
  <si>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</si>
  <si>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</si>
  <si>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</si>
  <si>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</si>
  <si>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</si>
  <si>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</si>
  <si>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</si>
  <si>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</si>
  <si>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</si>
  <si>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</si>
  <si>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</si>
  <si>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</si>
  <si>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</si>
  <si>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</si>
  <si>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</si>
  <si>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</si>
  <si>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</si>
  <si>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</si>
  <si>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</si>
  <si>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</si>
  <si>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</si>
  <si>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</si>
  <si>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</si>
  <si>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</si>
  <si>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</si>
  <si>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</si>
  <si>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</si>
  <si>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</si>
  <si>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</si>
  <si>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</si>
  <si>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</si>
  <si>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</si>
  <si>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</si>
  <si>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</si>
  <si>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</si>
  <si>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</si>
  <si>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</si>
  <si>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</si>
  <si>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</si>
  <si>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</si>
  <si>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</si>
  <si>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</si>
  <si>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</si>
  <si>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</si>
  <si>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</si>
  <si>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</si>
  <si>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</si>
  <si>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</si>
  <si>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</si>
  <si>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</si>
  <si>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</si>
  <si>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</si>
  <si>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</si>
  <si>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</si>
  <si>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</si>
  <si>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</si>
  <si>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</si>
  <si>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</si>
  <si>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</si>
  <si>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</si>
  <si>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</si>
  <si>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</si>
  <si>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</si>
  <si>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</si>
  <si>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</si>
  <si>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</si>
  <si>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</si>
  <si>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</si>
  <si>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</si>
  <si>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</si>
  <si>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</si>
  <si>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</si>
  <si>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</si>
  <si>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</si>
  <si>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</si>
  <si>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</si>
  <si>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</si>
  <si>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</si>
  <si>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</si>
  <si>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</si>
  <si>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</si>
  <si>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</si>
  <si>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</si>
  <si>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</si>
  <si>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</si>
  <si>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</si>
  <si>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</si>
  <si>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</si>
  <si>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</si>
  <si>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</si>
  <si>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</si>
  <si>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</si>
  <si>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</si>
  <si>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</si>
  <si>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</si>
  <si>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</si>
  <si>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</si>
  <si>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</si>
  <si>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</si>
  <si>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</si>
  <si>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</si>
  <si>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</si>
  <si>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</si>
  <si>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</si>
  <si>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</si>
  <si>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</si>
  <si>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</si>
  <si>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</si>
  <si>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</si>
  <si>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</si>
  <si>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</si>
  <si>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</si>
  <si>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</si>
  <si>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</si>
  <si>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</si>
  <si>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</si>
  <si>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</si>
  <si>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</si>
  <si>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</si>
  <si>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</si>
  <si>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</si>
  <si>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</si>
  <si>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</si>
  <si>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</si>
  <si>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</si>
  <si>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</si>
  <si>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</si>
  <si>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</si>
  <si>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</si>
  <si>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</si>
  <si>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</si>
  <si>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</si>
  <si>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</si>
  <si>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</si>
  <si>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</si>
  <si>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</si>
  <si>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</si>
  <si>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</si>
  <si>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</si>
  <si>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</si>
  <si>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</si>
  <si>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</si>
  <si>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</si>
  <si>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</si>
  <si>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</si>
  <si>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</si>
  <si>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</si>
  <si>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</si>
  <si>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</si>
  <si>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</si>
  <si>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</si>
  <si>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</si>
  <si>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</si>
  <si>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</si>
  <si>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</si>
  <si>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</si>
  <si>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</si>
  <si>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</si>
  <si>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</si>
  <si>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</si>
  <si>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</si>
  <si>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</si>
  <si>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</si>
  <si>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</si>
  <si>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</si>
  <si>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</si>
  <si>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</si>
  <si>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</si>
  <si>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</si>
  <si>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</si>
  <si>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</si>
  <si>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</si>
  <si>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</si>
  <si>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</si>
  <si>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</si>
  <si>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</si>
  <si>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</si>
  <si>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</si>
  <si>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</si>
  <si>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</si>
  <si>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</si>
  <si>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</si>
  <si>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</si>
  <si>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</si>
  <si>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</si>
  <si>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</si>
  <si>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</si>
  <si>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</si>
  <si>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</si>
  <si>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</si>
  <si>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</si>
  <si>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</si>
  <si>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</si>
  <si>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</si>
  <si>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</si>
  <si>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</si>
  <si>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</si>
  <si>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</si>
  <si>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</si>
  <si>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</si>
  <si>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</si>
  <si>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</si>
  <si>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</si>
  <si>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</si>
  <si>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</si>
  <si>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</si>
  <si>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</si>
  <si>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</si>
  <si>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</si>
  <si>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</si>
  <si>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</si>
  <si>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</si>
  <si>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</si>
  <si>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</si>
  <si>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</si>
  <si>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</si>
  <si>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</si>
  <si>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</si>
  <si>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</si>
  <si>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</si>
  <si>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</si>
  <si>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</si>
  <si>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</si>
  <si>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</si>
  <si>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</si>
  <si>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</si>
  <si>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</si>
  <si>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</si>
  <si>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</si>
  <si>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</si>
  <si>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</si>
  <si>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</si>
  <si>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</si>
  <si>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</si>
  <si>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</si>
  <si>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</si>
  <si>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</si>
  <si>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</si>
  <si>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</si>
  <si>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</si>
  <si>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</si>
  <si>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</si>
  <si>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</si>
  <si>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</si>
  <si>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</si>
  <si>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</si>
  <si>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</si>
  <si>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</si>
  <si>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</si>
  <si>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</si>
  <si>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</si>
  <si>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</si>
  <si>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</si>
  <si>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</si>
  <si>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</si>
  <si>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</si>
  <si>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</si>
  <si>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</si>
  <si>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</si>
  <si>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</si>
  <si>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</si>
  <si>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</si>
  <si>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</si>
  <si>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</si>
  <si>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</si>
  <si>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</si>
  <si>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</si>
  <si>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</si>
  <si>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</si>
  <si>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</si>
  <si>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</si>
  <si>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</si>
  <si>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</si>
  <si>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</si>
  <si>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</si>
  <si>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</si>
  <si>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</si>
  <si>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</si>
  <si>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</si>
  <si>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</si>
  <si>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</si>
  <si>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</si>
  <si>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</si>
  <si>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</si>
  <si>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</si>
  <si>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</si>
  <si>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</si>
  <si>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</si>
  <si>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</si>
  <si>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</si>
  <si>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</si>
  <si>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</si>
  <si>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</si>
  <si>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</si>
  <si>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</si>
  <si>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</si>
  <si>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</si>
  <si>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</si>
  <si>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</si>
  <si>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</si>
  <si>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</si>
  <si>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</si>
  <si>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</si>
  <si>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</si>
  <si>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</si>
  <si>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</si>
  <si>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</si>
  <si>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</si>
  <si>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</si>
  <si>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</si>
  <si>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</si>
  <si>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</si>
  <si>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</si>
  <si>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</si>
  <si>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</si>
  <si>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</si>
  <si>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</si>
  <si>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</si>
  <si>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</si>
  <si>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</si>
  <si>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</si>
  <si>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</si>
  <si>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</si>
  <si>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</si>
  <si>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</si>
  <si>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</si>
  <si>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</si>
  <si>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</si>
  <si>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</si>
  <si>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</si>
  <si>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</si>
  <si>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</si>
  <si>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</si>
  <si>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</si>
  <si>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</si>
  <si>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</si>
  <si>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</si>
  <si>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</si>
  <si>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</si>
  <si>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</si>
  <si>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</si>
  <si>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</si>
  <si>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</si>
  <si>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</si>
  <si>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</si>
  <si>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</si>
  <si>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</si>
  <si>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</si>
  <si>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</si>
  <si>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</si>
  <si>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</si>
  <si>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</si>
  <si>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</si>
  <si>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</si>
  <si>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</si>
  <si>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</si>
  <si>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</si>
  <si>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</si>
  <si>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</si>
  <si>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</si>
  <si>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</si>
  <si>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</si>
  <si>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</si>
  <si>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</si>
  <si>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</si>
  <si>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</si>
  <si>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</si>
  <si>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</si>
  <si>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</si>
  <si>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</si>
  <si>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</si>
  <si>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</si>
  <si>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</si>
  <si>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</si>
  <si>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</si>
  <si>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</si>
  <si>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</si>
  <si>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</si>
  <si>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</si>
  <si>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</si>
  <si>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</si>
  <si>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</si>
  <si>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</si>
  <si>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</si>
  <si>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</si>
  <si>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</si>
  <si>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</si>
  <si>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</si>
  <si>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</si>
  <si>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</si>
  <si>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</si>
  <si>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</si>
  <si>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</si>
  <si>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</si>
  <si>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</si>
  <si>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</si>
  <si>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</si>
  <si>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</si>
  <si>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</si>
  <si>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</si>
  <si>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</si>
  <si>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</si>
  <si>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</si>
  <si>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</si>
  <si>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</si>
  <si>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</si>
  <si>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</si>
  <si>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</si>
  <si>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</si>
  <si>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</si>
  <si>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</si>
  <si>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</si>
  <si>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</si>
  <si>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</si>
  <si>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</si>
  <si>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</si>
  <si>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</si>
  <si>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</si>
  <si>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</si>
  <si>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</si>
  <si>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</si>
  <si>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</si>
  <si>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</si>
  <si>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</si>
  <si>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</si>
  <si>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</si>
  <si>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</si>
  <si>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</si>
  <si>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</si>
  <si>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</si>
  <si>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</si>
  <si>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</si>
  <si>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</si>
  <si>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</si>
  <si>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</si>
  <si>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</si>
  <si>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</si>
  <si>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</si>
  <si>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</si>
  <si>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</si>
  <si>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</si>
  <si>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</si>
  <si>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</si>
  <si>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</si>
  <si>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</si>
  <si>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</si>
  <si>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</si>
  <si>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</si>
  <si>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</si>
  <si>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</si>
  <si>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</si>
  <si>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</si>
  <si>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</si>
  <si>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</si>
  <si>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</si>
  <si>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</si>
  <si>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</si>
  <si>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</si>
  <si>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</si>
  <si>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</si>
  <si>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</si>
  <si>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</si>
  <si>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</si>
  <si>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</si>
  <si>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</si>
  <si>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</si>
  <si>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</si>
  <si>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</si>
  <si>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</si>
  <si>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</si>
  <si>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</si>
  <si>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</si>
  <si>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</si>
  <si>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</si>
  <si>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</si>
  <si>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</si>
  <si>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</si>
  <si>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</si>
  <si>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</si>
  <si>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</si>
  <si>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</si>
  <si>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</si>
  <si>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</si>
  <si>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</si>
  <si>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</si>
  <si>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</si>
  <si>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</si>
  <si>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</si>
  <si>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</si>
  <si>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</si>
  <si>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</si>
  <si>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</si>
  <si>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</si>
  <si>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</si>
  <si>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</si>
  <si>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</si>
  <si>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</si>
  <si>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</si>
  <si>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</si>
  <si>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</si>
  <si>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</si>
  <si>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</si>
  <si>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</si>
  <si>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</si>
  <si>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</si>
  <si>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</si>
  <si>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</si>
  <si>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</si>
  <si>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</si>
  <si>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</si>
  <si>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</si>
  <si>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</si>
  <si>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</si>
  <si>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</si>
  <si>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</si>
  <si>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</si>
  <si>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</si>
  <si>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</si>
  <si>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</si>
  <si>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</si>
  <si>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</si>
  <si>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</si>
  <si>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</si>
  <si>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</si>
  <si>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</si>
  <si>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</si>
  <si>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</si>
  <si>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</si>
  <si>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</si>
  <si>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</si>
  <si>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</si>
  <si>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</si>
  <si>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</si>
  <si>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</si>
  <si>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</si>
  <si>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</si>
  <si>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</si>
  <si>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</si>
  <si>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</si>
  <si>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</si>
  <si>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</si>
  <si>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</si>
  <si>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</si>
  <si>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</si>
  <si>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</si>
  <si>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</si>
  <si>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</si>
  <si>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</si>
  <si>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</si>
  <si>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</si>
  <si>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</si>
  <si>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</si>
  <si>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</si>
  <si>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</si>
  <si>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</si>
  <si>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</si>
  <si>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</si>
  <si>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</si>
  <si>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</si>
  <si>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</si>
  <si>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</si>
  <si>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</si>
  <si>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</si>
  <si>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</si>
  <si>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</si>
  <si>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</si>
  <si>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</si>
  <si>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</si>
  <si>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</si>
  <si>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</si>
  <si>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</si>
  <si>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</si>
  <si>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</si>
  <si>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</si>
  <si>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</si>
  <si>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</si>
  <si>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</si>
  <si>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</si>
  <si>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</si>
  <si>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</si>
  <si>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</si>
  <si>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</si>
  <si>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</si>
  <si>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</si>
  <si>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</si>
  <si>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</si>
  <si>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</si>
  <si>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</si>
  <si>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</si>
  <si>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</si>
  <si>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</si>
  <si>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</si>
  <si>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</si>
  <si>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</si>
  <si>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</si>
  <si>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</si>
  <si>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</si>
  <si>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</si>
  <si>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</si>
  <si>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</si>
  <si>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</si>
  <si>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</si>
  <si>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</si>
  <si>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</si>
  <si>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</si>
  <si>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</si>
  <si>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</si>
  <si>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</si>
  <si>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</si>
  <si>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</si>
  <si>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</si>
  <si>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</si>
  <si>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</si>
  <si>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</si>
  <si>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</si>
  <si>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</si>
  <si>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</si>
  <si>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</si>
  <si>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</si>
  <si>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</si>
  <si>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</si>
  <si>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</si>
  <si>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</si>
  <si>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</si>
  <si>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</si>
  <si>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</si>
  <si>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</si>
  <si>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</si>
  <si>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</si>
  <si>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</si>
  <si>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</si>
  <si>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</si>
  <si>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</si>
  <si>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</si>
  <si>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</si>
  <si>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</si>
  <si>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</si>
  <si>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</si>
  <si>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</si>
  <si>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</si>
  <si>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</si>
  <si>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</si>
  <si>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</si>
  <si>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</si>
  <si>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</si>
  <si>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</si>
  <si>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</si>
  <si>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</si>
  <si>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</si>
  <si>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</si>
  <si>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</si>
  <si>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</si>
  <si>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</si>
  <si>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</si>
  <si>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</si>
  <si>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</si>
  <si>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</si>
  <si>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</si>
  <si>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</si>
  <si>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</si>
  <si>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</si>
  <si>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</si>
  <si>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</si>
  <si>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</si>
  <si>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</si>
  <si>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</si>
  <si>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</si>
  <si>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</si>
  <si>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</si>
  <si>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</si>
  <si>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</si>
  <si>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</si>
  <si>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</si>
  <si>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</si>
  <si>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</si>
  <si>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</si>
  <si>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</si>
  <si>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</si>
  <si>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</si>
  <si>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</si>
  <si>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</si>
  <si>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</si>
  <si>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</si>
  <si>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</si>
  <si>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</si>
  <si>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</si>
  <si>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</si>
  <si>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</si>
  <si>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</si>
  <si>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</si>
  <si>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</si>
  <si>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</si>
  <si>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</si>
  <si>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</si>
  <si>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</si>
  <si>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</si>
  <si>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</si>
  <si>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</si>
  <si>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</si>
  <si>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</si>
  <si>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</si>
  <si>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</si>
  <si>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</si>
  <si>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</si>
  <si>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</si>
  <si>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</si>
  <si>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</si>
  <si>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</si>
  <si>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</si>
  <si>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</si>
  <si>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</si>
  <si>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</si>
  <si>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</si>
  <si>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</si>
  <si>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</si>
  <si>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</si>
  <si>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</si>
  <si>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</si>
  <si>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</si>
  <si>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</si>
  <si>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</si>
  <si>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</si>
  <si>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</si>
  <si>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</si>
  <si>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</si>
  <si>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</si>
  <si>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</si>
  <si>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</si>
  <si>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</si>
  <si>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</si>
  <si>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</si>
  <si>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</si>
  <si>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</si>
  <si>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</si>
  <si>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</si>
  <si>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</si>
  <si>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</si>
  <si>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</si>
  <si>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</si>
  <si>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</si>
  <si>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</si>
  <si>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</si>
  <si>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</si>
  <si>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</si>
  <si>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</si>
  <si>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</si>
  <si>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</si>
  <si>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</si>
  <si>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</si>
  <si>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</si>
  <si>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</si>
  <si>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</si>
  <si>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</si>
  <si>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</si>
  <si>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</si>
  <si>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</si>
  <si>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</si>
  <si>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</si>
  <si>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</si>
  <si>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</si>
  <si>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</si>
  <si>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</si>
  <si>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</si>
  <si>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</si>
  <si>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</si>
  <si>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</si>
  <si>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</si>
  <si>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</si>
  <si>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</si>
  <si>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</si>
  <si>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</si>
  <si>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</si>
  <si>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</si>
  <si>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</si>
  <si>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</si>
  <si>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</si>
  <si>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</si>
  <si>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</si>
  <si>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</si>
  <si>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</si>
  <si>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</si>
  <si>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</si>
  <si>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</si>
  <si>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</si>
  <si>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</si>
  <si>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</si>
  <si>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</si>
  <si>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</si>
  <si>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</si>
  <si>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</si>
  <si>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</si>
  <si>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</si>
  <si>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</si>
  <si>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</si>
  <si>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</si>
  <si>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</si>
  <si>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</si>
  <si>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</si>
  <si>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</si>
  <si>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</si>
  <si>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</si>
  <si>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</si>
  <si>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</si>
  <si>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</si>
  <si>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</si>
  <si>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</si>
  <si>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</si>
  <si>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</si>
  <si>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</si>
  <si>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</si>
  <si>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</si>
  <si>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</si>
  <si>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</si>
  <si>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</si>
  <si>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</si>
  <si>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</si>
  <si>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</si>
  <si>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</si>
  <si>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</si>
  <si>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</si>
  <si>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</si>
  <si>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</si>
  <si>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</si>
  <si>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</si>
  <si>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</si>
  <si>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</si>
  <si>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</si>
  <si>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</si>
  <si>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</si>
  <si>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</si>
  <si>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</si>
  <si>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</si>
  <si>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</si>
  <si>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</si>
  <si>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</si>
  <si>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</si>
  <si>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</si>
  <si>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</si>
  <si>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</si>
  <si>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</si>
  <si>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</si>
  <si>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</si>
  <si>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</si>
  <si>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</si>
  <si>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</si>
  <si>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</si>
  <si>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</si>
  <si>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</si>
  <si>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</si>
  <si>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</si>
  <si>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</si>
  <si>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</si>
  <si>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</si>
  <si>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</si>
  <si>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</si>
  <si>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</si>
  <si>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</si>
  <si>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</si>
  <si>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</si>
  <si>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</si>
  <si>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</si>
  <si>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</si>
  <si>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</si>
  <si>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</si>
  <si>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</si>
  <si>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</si>
  <si>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</si>
  <si>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</si>
  <si>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</si>
  <si>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</si>
  <si>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</si>
  <si>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</si>
  <si>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</si>
  <si>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</si>
  <si>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</si>
  <si>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</si>
  <si>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</si>
  <si>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</si>
  <si>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</si>
  <si>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</si>
  <si>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</si>
  <si>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</si>
  <si>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</si>
  <si>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</si>
  <si>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</si>
  <si>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</si>
  <si>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</si>
  <si>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</si>
  <si>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</si>
  <si>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</si>
  <si>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</si>
  <si>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</si>
  <si>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</si>
  <si>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</si>
  <si>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</si>
  <si>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</si>
  <si>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</si>
  <si>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</si>
  <si>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</si>
  <si>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</si>
  <si>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</si>
  <si>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</si>
  <si>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</si>
  <si>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</si>
  <si>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</si>
  <si>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</si>
  <si>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</si>
  <si>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</si>
  <si>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</si>
  <si>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</si>
  <si>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</si>
  <si>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</si>
  <si>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</si>
  <si>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</si>
  <si>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</si>
  <si>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</si>
  <si>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</si>
  <si>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</si>
  <si>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</si>
  <si>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</si>
  <si>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</si>
  <si>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</si>
  <si>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</si>
  <si>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</si>
  <si>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</si>
  <si>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</si>
  <si>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</si>
  <si>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</si>
  <si>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</si>
  <si>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</si>
  <si>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</si>
  <si>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</si>
  <si>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</si>
  <si>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</si>
  <si>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</si>
  <si>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</si>
  <si>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</si>
  <si>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</si>
  <si>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</si>
  <si>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</si>
  <si>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</si>
  <si>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</si>
  <si>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</si>
  <si>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</si>
  <si>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</si>
  <si>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</si>
  <si>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</si>
  <si>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</si>
  <si>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</si>
  <si>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</si>
  <si>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</si>
  <si>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</si>
  <si>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</si>
  <si>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</si>
  <si>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</si>
  <si>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</si>
  <si>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</si>
  <si>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</si>
  <si>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</si>
  <si>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</si>
  <si>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</si>
  <si>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</si>
  <si>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</si>
  <si>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</si>
  <si>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</si>
  <si>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</si>
  <si>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</si>
  <si>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</si>
  <si>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</si>
  <si>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</si>
  <si>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</si>
  <si>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</si>
  <si>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</si>
  <si>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</si>
  <si>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</si>
  <si>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</si>
  <si>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</si>
  <si>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</si>
  <si>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</si>
  <si>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</si>
  <si>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</si>
  <si>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</si>
  <si>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</si>
  <si>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</si>
  <si>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</si>
  <si>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</si>
  <si>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</si>
  <si>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</si>
  <si>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</si>
  <si>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</si>
  <si>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</si>
  <si>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</si>
  <si>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</si>
  <si>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</si>
  <si>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</si>
  <si>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</si>
  <si>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</si>
  <si>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</si>
  <si>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</si>
  <si>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</si>
  <si>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</si>
  <si>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</si>
  <si>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</si>
  <si>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</si>
  <si>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</si>
  <si>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</si>
  <si>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</si>
  <si>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</si>
  <si>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</si>
  <si>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</si>
  <si>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</si>
  <si>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</si>
  <si>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</si>
  <si>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</si>
  <si>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</si>
  <si>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</si>
  <si>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</si>
  <si>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</si>
  <si>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</si>
  <si>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</si>
  <si>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</si>
  <si>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</si>
  <si>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</si>
  <si>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</si>
  <si>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</si>
  <si>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</si>
  <si>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</si>
  <si>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</si>
  <si>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</si>
  <si>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</si>
  <si>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</si>
  <si>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</si>
  <si>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</si>
  <si>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</si>
  <si>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</si>
  <si>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</si>
  <si>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</si>
  <si>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</si>
  <si>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</si>
  <si>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</si>
  <si>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</si>
  <si>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</si>
  <si>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</si>
  <si>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</si>
  <si>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</si>
  <si>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</si>
  <si>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</si>
  <si>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</si>
  <si>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</si>
  <si>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</si>
  <si>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</si>
  <si>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</si>
  <si>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</si>
  <si>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</si>
  <si>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</si>
  <si>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</si>
  <si>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</si>
  <si>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</si>
  <si>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</si>
  <si>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</si>
  <si>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</si>
  <si>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</si>
  <si>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</si>
  <si>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</si>
  <si>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</si>
  <si>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</si>
  <si>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</si>
  <si>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</si>
  <si>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</si>
  <si>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</si>
  <si>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</si>
  <si>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</si>
  <si>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</si>
  <si>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</si>
  <si>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</si>
  <si>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</si>
  <si>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</si>
  <si>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</si>
  <si>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</si>
  <si>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</si>
  <si>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</si>
  <si>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</si>
  <si>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</si>
  <si>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</si>
  <si>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</si>
  <si>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</si>
  <si>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</si>
  <si>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</si>
  <si>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</si>
  <si>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</si>
  <si>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</si>
  <si>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</si>
  <si>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</si>
  <si>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</si>
  <si>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</si>
  <si>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</si>
  <si>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</si>
  <si>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</si>
  <si>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</si>
  <si>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</si>
  <si>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</si>
  <si>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</si>
  <si>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</si>
  <si>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</si>
  <si>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</si>
  <si>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</si>
  <si>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</si>
  <si>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</si>
  <si>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</si>
  <si>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</si>
  <si>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</si>
  <si>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</si>
  <si>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</si>
  <si>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</si>
  <si>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</si>
  <si>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</si>
  <si>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</si>
  <si>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</si>
  <si>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</si>
  <si>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</si>
  <si>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</si>
  <si>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</si>
  <si>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</si>
  <si>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</si>
  <si>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</si>
  <si>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</si>
  <si>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</si>
  <si>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</si>
  <si>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</si>
  <si>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</si>
  <si>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</si>
  <si>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</si>
  <si>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</si>
  <si>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</si>
  <si>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</si>
  <si>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</si>
  <si>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</si>
  <si>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</si>
  <si>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</si>
  <si>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</si>
  <si>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</si>
  <si>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</si>
  <si>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</si>
  <si>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</si>
  <si>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</si>
  <si>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</si>
  <si>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</si>
  <si>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</si>
  <si>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</si>
  <si>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</si>
  <si>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</si>
  <si>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</si>
  <si>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</si>
  <si>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</si>
  <si>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</si>
  <si>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</si>
  <si>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</si>
  <si>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</si>
  <si>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</si>
  <si>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</si>
  <si>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</si>
  <si>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</si>
  <si>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</si>
  <si>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</si>
  <si>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</si>
  <si>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</si>
  <si>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</si>
  <si>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</si>
  <si>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</si>
  <si>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</si>
  <si>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</si>
  <si>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</si>
  <si>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</si>
  <si>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</si>
  <si>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</si>
  <si>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</si>
  <si>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</si>
  <si>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</si>
  <si>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</si>
  <si>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</si>
  <si>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</si>
  <si>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</si>
  <si>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</si>
  <si>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</si>
  <si>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</si>
  <si>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</si>
  <si>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</si>
  <si>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</si>
  <si>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</si>
  <si>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</si>
  <si>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</si>
  <si>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</si>
  <si>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</si>
  <si>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</si>
  <si>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</si>
  <si>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</si>
  <si>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</si>
  <si>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</si>
  <si>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</si>
  <si>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</si>
  <si>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</si>
  <si>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</si>
  <si>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</si>
  <si>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</si>
  <si>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</si>
  <si>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</si>
  <si>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</si>
  <si>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</si>
  <si>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</si>
  <si>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</si>
  <si>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</si>
  <si>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</si>
  <si>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</si>
  <si>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</si>
  <si>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</si>
  <si>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</si>
  <si>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</si>
  <si>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</si>
  <si>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</si>
  <si>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</si>
  <si>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</si>
  <si>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</si>
  <si>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</si>
  <si>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</si>
  <si>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</si>
  <si>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</si>
  <si>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</si>
  <si>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</si>
  <si>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</si>
  <si>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</si>
  <si>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</si>
  <si>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</si>
  <si>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</si>
  <si>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</si>
  <si>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</si>
  <si>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</si>
  <si>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</si>
  <si>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</si>
  <si>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</si>
  <si>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</si>
  <si>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</si>
  <si>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</si>
  <si>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</si>
  <si>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</si>
  <si>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</si>
  <si>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</si>
  <si>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</si>
  <si>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</si>
  <si>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</si>
  <si>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</si>
  <si>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</si>
  <si>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</si>
  <si>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</si>
  <si>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</si>
  <si>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</si>
  <si>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</si>
  <si>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</si>
  <si>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</si>
  <si>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</si>
  <si>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</si>
  <si>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</si>
  <si>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</si>
  <si>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</si>
  <si>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</si>
  <si>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</si>
  <si>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</si>
  <si>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</si>
  <si>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</si>
  <si>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</si>
  <si>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</si>
  <si>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</si>
  <si>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</si>
  <si>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</si>
  <si>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</si>
  <si>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</si>
  <si>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</si>
  <si>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</si>
  <si>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</si>
  <si>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</si>
  <si>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</si>
  <si>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</si>
  <si>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</si>
  <si>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</si>
  <si>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</si>
  <si>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</si>
  <si>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</si>
  <si>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</si>
  <si>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</si>
  <si>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</si>
  <si>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</si>
  <si>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</si>
  <si>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</si>
  <si>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</si>
  <si>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</si>
  <si>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</si>
  <si>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</si>
  <si>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</si>
  <si>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</si>
  <si>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</si>
  <si>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</si>
  <si>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</si>
  <si>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</si>
  <si>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</si>
  <si>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</si>
  <si>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</si>
  <si>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</si>
  <si>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</si>
  <si>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</si>
  <si>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</si>
  <si>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</si>
  <si>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</si>
  <si>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</si>
  <si>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</si>
  <si>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</si>
  <si>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</si>
  <si>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</si>
  <si>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</si>
  <si>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</si>
  <si>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</si>
  <si>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</si>
  <si>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</si>
  <si>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</si>
  <si>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</si>
  <si>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</si>
  <si>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</si>
  <si>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</si>
  <si>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</si>
  <si>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</si>
  <si>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</si>
  <si>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</si>
  <si>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</si>
  <si>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</si>
  <si>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</si>
  <si>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</si>
  <si>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</si>
  <si>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</si>
  <si>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</si>
  <si>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</si>
  <si>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</si>
  <si>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</si>
  <si>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</si>
  <si>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</si>
  <si>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</si>
  <si>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</si>
  <si>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</si>
  <si>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</si>
  <si>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</si>
  <si>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</si>
  <si>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</si>
  <si>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</si>
  <si>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</si>
  <si>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</si>
  <si>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</si>
  <si>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</si>
  <si>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</si>
  <si>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</si>
  <si>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</si>
  <si>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</si>
  <si>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</si>
  <si>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</si>
  <si>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</si>
  <si>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</si>
  <si>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</si>
  <si>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</si>
  <si>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</si>
  <si>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</si>
  <si>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</si>
  <si>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</si>
  <si>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</si>
  <si>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</si>
  <si>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</si>
  <si>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</si>
  <si>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</si>
  <si>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</si>
  <si>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</si>
  <si>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</si>
  <si>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</si>
  <si>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</si>
  <si>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</si>
  <si>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</si>
  <si>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</si>
  <si>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</si>
  <si>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</si>
  <si>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</si>
  <si>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</si>
  <si>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</si>
  <si>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</si>
  <si>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</si>
  <si>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</si>
  <si>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</si>
  <si>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</si>
  <si>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</si>
  <si>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</si>
  <si>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</si>
  <si>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</si>
  <si>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</si>
  <si>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</si>
  <si>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</si>
  <si>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</si>
  <si>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</si>
  <si>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</si>
  <si>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</si>
  <si>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</si>
  <si>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</si>
  <si>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</si>
  <si>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</si>
  <si>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</si>
  <si>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</si>
  <si>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</si>
  <si>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</si>
  <si>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</si>
  <si>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</si>
  <si>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</si>
  <si>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</si>
  <si>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</si>
  <si>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</si>
  <si>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</si>
  <si>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</si>
  <si>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</si>
  <si>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</si>
  <si>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</si>
  <si>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</si>
  <si>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</si>
  <si>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</si>
  <si>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</si>
  <si>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</si>
  <si>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</si>
  <si>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</si>
  <si>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</si>
  <si>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</si>
  <si>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</si>
  <si>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</si>
  <si>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</si>
  <si>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</si>
  <si>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</si>
  <si>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</si>
  <si>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</si>
  <si>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</si>
  <si>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</si>
  <si>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</si>
  <si>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</si>
  <si>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</si>
  <si>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</si>
  <si>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</si>
  <si>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</si>
  <si>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</si>
  <si>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</si>
  <si>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</si>
  <si>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</si>
  <si>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</si>
  <si>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</si>
  <si>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</si>
  <si>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</si>
  <si>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</si>
  <si>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</si>
  <si>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</si>
  <si>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</si>
  <si>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</si>
  <si>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</si>
  <si>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</si>
  <si>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</si>
  <si>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</si>
  <si>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</si>
  <si>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</si>
  <si>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</si>
  <si>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</si>
  <si>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</si>
  <si>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</si>
  <si>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</si>
  <si>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</si>
  <si>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</si>
  <si>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</si>
  <si>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</si>
  <si>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</si>
  <si>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</si>
  <si>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</si>
  <si>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</si>
  <si>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</si>
  <si>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</si>
  <si>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</si>
  <si>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</si>
  <si>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</si>
  <si>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</si>
  <si>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</si>
  <si>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</si>
  <si>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</si>
  <si>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</si>
  <si>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</si>
  <si>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</si>
  <si>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</si>
  <si>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</si>
  <si>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</si>
  <si>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</si>
  <si>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</si>
  <si>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</si>
  <si>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</si>
  <si>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</si>
  <si>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</si>
  <si>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</si>
  <si>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</si>
  <si>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</si>
  <si>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</si>
  <si>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</si>
  <si>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</si>
  <si>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</si>
  <si>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</si>
  <si>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</si>
  <si>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</si>
  <si>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</si>
  <si>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</si>
  <si>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</si>
  <si>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</si>
  <si>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</si>
  <si>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</si>
  <si>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</si>
  <si>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</si>
  <si>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</si>
  <si>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</si>
  <si>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</si>
  <si>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</si>
  <si>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</si>
  <si>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</si>
  <si>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</si>
  <si>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</si>
  <si>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</si>
  <si>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</si>
  <si>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</si>
  <si>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</si>
  <si>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</si>
  <si>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</si>
  <si>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</si>
  <si>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</si>
  <si>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</si>
  <si>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</si>
  <si>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</si>
  <si>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</si>
  <si>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</si>
  <si>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</si>
  <si>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</si>
  <si>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</si>
  <si>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</si>
  <si>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</si>
  <si>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</si>
  <si>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</si>
  <si>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</si>
  <si>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</si>
  <si>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</si>
  <si>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</si>
  <si>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</si>
  <si>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</si>
  <si>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</si>
  <si>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</si>
  <si>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</si>
  <si>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</si>
  <si>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</si>
  <si>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</si>
  <si>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</si>
  <si>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</si>
  <si>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</si>
  <si>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</si>
  <si>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</si>
  <si>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</si>
  <si>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</si>
  <si>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</si>
  <si>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</si>
  <si>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</si>
  <si>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</si>
  <si>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</si>
  <si>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</si>
  <si>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</si>
  <si>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</si>
  <si>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</si>
  <si>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</si>
  <si>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</si>
  <si>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</si>
  <si>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</si>
  <si>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</si>
  <si>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</si>
  <si>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</si>
  <si>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</si>
  <si>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</si>
  <si>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</si>
  <si>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</si>
  <si>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</si>
  <si>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</si>
  <si>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</si>
  <si>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</si>
  <si>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</si>
  <si>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</si>
  <si>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</si>
  <si>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</si>
  <si>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</si>
  <si>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</si>
  <si>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</si>
  <si>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</si>
  <si>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</si>
  <si>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</si>
  <si>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</si>
  <si>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</si>
  <si>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</si>
  <si>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</si>
  <si>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</si>
  <si>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</si>
  <si>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</si>
  <si>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</si>
  <si>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</si>
  <si>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</si>
  <si>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</si>
  <si>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</si>
  <si>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</si>
  <si>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</si>
  <si>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</si>
  <si>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</si>
  <si>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</si>
  <si>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</si>
  <si>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</si>
  <si>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</si>
  <si>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</si>
  <si>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</si>
  <si>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</si>
  <si>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</si>
  <si>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</si>
  <si>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</si>
  <si>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</si>
  <si>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</si>
  <si>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</si>
  <si>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</si>
  <si>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</si>
  <si>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</si>
  <si>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</si>
  <si>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</si>
  <si>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</si>
  <si>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</si>
  <si>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</si>
  <si>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</si>
  <si>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</si>
  <si>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</si>
  <si>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</si>
  <si>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</si>
  <si>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</si>
  <si>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</si>
  <si>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</si>
  <si>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</si>
  <si>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</si>
  <si>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</si>
  <si>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</si>
  <si>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</si>
  <si>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</si>
  <si>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</si>
  <si>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</si>
  <si>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</si>
  <si>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</si>
  <si>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</si>
  <si>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</si>
  <si>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</si>
  <si>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</si>
  <si>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</si>
  <si>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</si>
  <si>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</si>
  <si>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</si>
  <si>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</si>
  <si>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</si>
  <si>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</si>
  <si>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</si>
  <si>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</si>
  <si>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</si>
  <si>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</si>
  <si>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</si>
  <si>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</si>
  <si>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</si>
  <si>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</si>
  <si>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</si>
  <si>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</si>
  <si>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</si>
  <si>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</si>
  <si>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</si>
  <si>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</si>
  <si>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</si>
  <si>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</si>
  <si>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</si>
  <si>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</si>
  <si>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</si>
  <si>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</si>
  <si>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</si>
  <si>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</si>
  <si>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</si>
  <si>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</si>
  <si>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</si>
  <si>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</si>
  <si>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</si>
  <si>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</si>
  <si>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</si>
  <si>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</si>
  <si>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</si>
  <si>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</si>
  <si>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</si>
  <si>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</si>
  <si>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</si>
  <si>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</si>
  <si>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</si>
  <si>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</si>
  <si>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</si>
  <si>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</si>
  <si>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</si>
  <si>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</si>
  <si>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</si>
  <si>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</si>
  <si>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</si>
  <si>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</si>
  <si>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</si>
  <si>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</si>
  <si>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</si>
  <si>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</si>
  <si>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</si>
  <si>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</si>
  <si>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</si>
  <si>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</si>
  <si>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</si>
  <si>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</si>
  <si>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</si>
  <si>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</si>
  <si>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</si>
  <si>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</si>
  <si>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</si>
  <si>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</si>
  <si>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</si>
  <si>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</si>
  <si>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</si>
  <si>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</si>
  <si>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</si>
  <si>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</si>
  <si>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</si>
  <si>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</si>
  <si>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</si>
  <si>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</si>
  <si>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</si>
  <si>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</si>
  <si>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</si>
  <si>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</si>
  <si>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</si>
  <si>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</si>
  <si>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</si>
  <si>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</si>
  <si>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</si>
  <si>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</si>
  <si>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</si>
  <si>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</si>
  <si>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</si>
  <si>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</si>
  <si>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</si>
  <si>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</si>
  <si>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</si>
  <si>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</si>
  <si>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</si>
  <si>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</si>
  <si>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</si>
  <si>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</si>
  <si>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</si>
  <si>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</si>
  <si>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</si>
  <si>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</si>
  <si>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</si>
  <si>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</si>
  <si>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</si>
  <si>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</si>
  <si>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</si>
  <si>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</si>
  <si>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</si>
  <si>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</si>
  <si>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</si>
  <si>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</si>
  <si>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</si>
  <si>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</si>
  <si>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</si>
  <si>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</si>
  <si>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</si>
  <si>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</si>
  <si>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</si>
  <si>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</si>
  <si>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</si>
  <si>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</si>
  <si>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</si>
  <si>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</si>
  <si>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</si>
  <si>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</si>
  <si>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</si>
  <si>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</si>
  <si>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</si>
  <si>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</si>
  <si>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</si>
  <si>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</si>
  <si>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</si>
  <si>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</si>
  <si>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</si>
  <si>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</si>
  <si>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</si>
  <si>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</si>
  <si>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</si>
  <si>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</si>
  <si>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</si>
  <si>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</si>
  <si>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</si>
  <si>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</si>
  <si>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</si>
  <si>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</si>
  <si>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</si>
  <si>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</si>
  <si>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</si>
  <si>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</si>
  <si>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</si>
  <si>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</si>
  <si>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</si>
  <si>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</si>
  <si>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</si>
  <si>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</si>
  <si>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</si>
  <si>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</si>
  <si>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</si>
  <si>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</si>
  <si>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</si>
  <si>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</si>
  <si>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</si>
  <si>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</si>
  <si>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</si>
  <si>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</si>
  <si>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</si>
  <si>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</si>
  <si>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</si>
  <si>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</si>
  <si>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</si>
  <si>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</si>
  <si>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</si>
  <si>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</si>
  <si>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</si>
  <si>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</si>
  <si>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</si>
  <si>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</si>
  <si>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</si>
  <si>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</si>
  <si>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</si>
  <si>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</si>
  <si>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</si>
  <si>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</si>
  <si>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</si>
  <si>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</si>
  <si>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</si>
  <si>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</si>
  <si>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</si>
  <si>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</si>
  <si>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</si>
  <si>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</si>
  <si>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</si>
  <si>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</si>
  <si>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</si>
  <si>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</si>
  <si>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</si>
  <si>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</si>
  <si>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</si>
  <si>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</si>
  <si>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</si>
  <si>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</si>
  <si>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</si>
  <si>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</si>
  <si>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</si>
  <si>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</si>
  <si>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</si>
  <si>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</si>
  <si>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</si>
  <si>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</si>
  <si>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</si>
  <si>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</si>
  <si>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</si>
  <si>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</si>
  <si>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</si>
  <si>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</si>
  <si>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</si>
  <si>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</si>
  <si>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</si>
  <si>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</si>
  <si>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</si>
  <si>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</si>
  <si>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</si>
  <si>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</si>
  <si>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</si>
  <si>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</si>
  <si>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</si>
  <si>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</si>
  <si>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</si>
  <si>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</si>
  <si>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</si>
  <si>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</si>
  <si>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</si>
  <si>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</si>
  <si>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</si>
  <si>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</si>
  <si>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</si>
  <si>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</si>
  <si>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</si>
  <si>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</si>
  <si>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</si>
  <si>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</si>
  <si>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</si>
  <si>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</si>
  <si>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</si>
  <si>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</si>
  <si>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</si>
  <si>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</si>
  <si>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</si>
  <si>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</si>
  <si>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</si>
  <si>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</si>
  <si>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</si>
  <si>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</si>
  <si>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</si>
  <si>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</si>
  <si>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</si>
  <si>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</si>
  <si>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</si>
  <si>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</si>
  <si>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</si>
  <si>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</si>
  <si>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</si>
  <si>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</si>
  <si>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</si>
  <si>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</si>
  <si>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</si>
  <si>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</si>
  <si>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</si>
  <si>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</si>
  <si>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</si>
  <si>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</si>
  <si>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</si>
  <si>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</si>
  <si>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</si>
  <si>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</si>
  <si>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</si>
  <si>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</si>
  <si>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</si>
  <si>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</si>
  <si>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</si>
  <si>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</si>
  <si>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</si>
  <si>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</si>
  <si>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</si>
  <si>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</si>
  <si>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</si>
  <si>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</si>
  <si>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</si>
  <si>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</si>
  <si>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</si>
  <si>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</si>
  <si>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</si>
  <si>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</si>
  <si>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</si>
  <si>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</si>
  <si>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</si>
  <si>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</si>
  <si>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</si>
  <si>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</si>
  <si>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</si>
  <si>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</si>
  <si>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</si>
  <si>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</si>
  <si>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</si>
  <si>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</si>
  <si>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</si>
  <si>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</si>
  <si>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</si>
  <si>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</si>
  <si>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</si>
  <si>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</si>
  <si>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</si>
  <si>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</si>
  <si>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</si>
  <si>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</si>
  <si>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</si>
  <si>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</si>
  <si>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</si>
  <si>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</si>
  <si>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</si>
  <si>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</si>
  <si>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</si>
  <si>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</si>
  <si>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</si>
  <si>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</si>
  <si>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</si>
  <si>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</si>
  <si>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</si>
  <si>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</si>
  <si>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</si>
  <si>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</si>
  <si>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</si>
  <si>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</si>
  <si>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</si>
  <si>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</si>
  <si>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</si>
  <si>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</si>
  <si>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</si>
  <si>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</si>
  <si>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</si>
  <si>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</si>
  <si>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</si>
  <si>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</si>
  <si>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</si>
  <si>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</si>
  <si>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</si>
  <si>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</si>
  <si>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</si>
  <si>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</si>
  <si>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</si>
  <si>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</si>
  <si>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</si>
  <si>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</si>
  <si>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</si>
  <si>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</si>
  <si>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</si>
  <si>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</si>
  <si>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</si>
  <si>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</si>
  <si>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</si>
  <si>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</si>
  <si>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</si>
  <si>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</si>
  <si>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</si>
  <si>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</si>
  <si>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</si>
  <si>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</si>
  <si>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</si>
  <si>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</si>
  <si>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</si>
  <si>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</si>
  <si>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</si>
  <si>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</si>
  <si>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</si>
  <si>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</si>
  <si>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</si>
  <si>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</si>
  <si>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</si>
  <si>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</si>
  <si>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</si>
  <si>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</si>
  <si>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</si>
  <si>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</si>
  <si>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</si>
  <si>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</si>
  <si>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</si>
  <si>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</si>
  <si>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</si>
  <si>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</si>
  <si>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</si>
  <si>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</si>
  <si>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</si>
  <si>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</si>
  <si>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</si>
  <si>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</si>
  <si>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</si>
  <si>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</si>
  <si>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</si>
  <si>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</si>
  <si>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</si>
  <si>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</si>
  <si>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</si>
  <si>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</si>
  <si>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</si>
  <si>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</si>
  <si>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</si>
  <si>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</si>
  <si>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</si>
  <si>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</si>
  <si>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</si>
  <si>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</si>
  <si>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</si>
  <si>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</si>
  <si>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</si>
  <si>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</si>
  <si>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</si>
  <si>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</si>
  <si>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</si>
  <si>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</si>
  <si>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</si>
  <si>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</si>
  <si>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</si>
  <si>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</si>
  <si>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</si>
  <si>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</si>
  <si>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</si>
  <si>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</si>
  <si>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</si>
  <si>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</si>
  <si>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</si>
  <si>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</si>
  <si>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</si>
  <si>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</si>
  <si>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</si>
  <si>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</si>
  <si>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</si>
  <si>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</si>
  <si>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</si>
  <si>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</si>
  <si>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</si>
  <si>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</si>
  <si>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</si>
  <si>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</si>
  <si>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</si>
  <si>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</si>
  <si>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</si>
  <si>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</si>
  <si>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</si>
  <si>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</si>
  <si>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</si>
  <si>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</si>
  <si>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</si>
  <si>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</si>
  <si>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</si>
  <si>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</si>
  <si>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</si>
  <si>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</si>
  <si>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</si>
  <si>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</si>
  <si>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</si>
  <si>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</si>
  <si>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</si>
  <si>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</si>
  <si>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</si>
  <si>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</si>
  <si>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</si>
  <si>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</si>
  <si>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</si>
  <si>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</si>
  <si>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</si>
  <si>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</si>
  <si>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</si>
  <si>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</si>
  <si>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</si>
  <si>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</si>
  <si>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</si>
  <si>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</si>
  <si>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</si>
  <si>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</si>
  <si>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</si>
  <si>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</si>
  <si>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</si>
  <si>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</si>
  <si>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</si>
  <si>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</si>
  <si>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</si>
  <si>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</si>
  <si>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</si>
  <si>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</si>
  <si>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</si>
  <si>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</si>
  <si>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</si>
  <si>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</si>
  <si>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</si>
  <si>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</si>
  <si>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</si>
  <si>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</si>
  <si>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</si>
  <si>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</si>
  <si>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</si>
  <si>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</si>
  <si>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</si>
  <si>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</si>
  <si>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</si>
  <si>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</si>
  <si>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</si>
  <si>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</si>
  <si>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</si>
  <si>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</si>
  <si>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</si>
  <si>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</si>
  <si>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</si>
  <si>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</si>
  <si>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</si>
  <si>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</si>
  <si>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</si>
  <si>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</si>
  <si>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</si>
  <si>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</si>
  <si>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</si>
  <si>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</si>
  <si>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</si>
  <si>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</si>
  <si>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</si>
  <si>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</si>
  <si>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</si>
  <si>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</si>
  <si>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</si>
  <si>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</si>
  <si>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</si>
  <si>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</si>
  <si>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</si>
  <si>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</si>
  <si>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</si>
  <si>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</si>
  <si>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</si>
  <si>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</si>
  <si>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</si>
  <si>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</si>
  <si>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</si>
  <si>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</si>
  <si>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</si>
  <si>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</si>
  <si>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</si>
  <si>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</si>
  <si>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</si>
  <si>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</si>
  <si>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</si>
  <si>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</si>
  <si>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</si>
  <si>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</si>
  <si>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</si>
  <si>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</si>
  <si>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</si>
  <si>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</si>
  <si>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</si>
  <si>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</si>
  <si>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</si>
  <si>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</si>
  <si>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</si>
  <si>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</si>
  <si>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</si>
  <si>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</si>
  <si>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</si>
  <si>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</si>
  <si>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</si>
  <si>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</si>
  <si>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</si>
  <si>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</si>
  <si>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</si>
  <si>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</si>
  <si>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</si>
  <si>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</si>
  <si>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</si>
  <si>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</si>
  <si>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</si>
  <si>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</si>
  <si>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</si>
  <si>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</si>
  <si>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</si>
  <si>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</si>
  <si>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</si>
  <si>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</si>
  <si>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</si>
  <si>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</si>
  <si>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</si>
  <si>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</si>
  <si>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</si>
  <si>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</si>
  <si>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</si>
  <si>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</si>
  <si>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</si>
  <si>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</si>
  <si>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</si>
  <si>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</si>
  <si>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</si>
  <si>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</si>
  <si>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</si>
  <si>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</si>
  <si>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</si>
  <si>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</si>
  <si>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</si>
  <si>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</si>
  <si>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</si>
  <si>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</si>
  <si>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</si>
  <si>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</si>
  <si>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</si>
  <si>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</si>
  <si>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</si>
  <si>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</si>
  <si>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</si>
  <si>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</si>
  <si>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</si>
  <si>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</si>
  <si>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</si>
  <si>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</si>
  <si>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</si>
  <si>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</si>
  <si>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</si>
  <si>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</si>
  <si>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</si>
  <si>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</si>
  <si>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</si>
  <si>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</si>
  <si>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</si>
  <si>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</si>
  <si>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</si>
  <si>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</si>
  <si>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</si>
  <si>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</si>
  <si>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</si>
  <si>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</si>
  <si>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</si>
  <si>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</si>
  <si>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</si>
  <si>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</si>
  <si>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</si>
  <si>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</si>
  <si>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</si>
  <si>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</si>
  <si>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</si>
  <si>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</si>
  <si>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</si>
  <si>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</si>
  <si>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</si>
  <si>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</si>
  <si>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</si>
  <si>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</si>
  <si>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</si>
  <si>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</si>
  <si>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</si>
  <si>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</si>
  <si>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</si>
  <si>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</si>
  <si>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</si>
  <si>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</si>
  <si>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</si>
  <si>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</si>
  <si>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</si>
  <si>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</si>
  <si>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</si>
  <si>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</si>
  <si>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</si>
  <si>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</si>
  <si>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</si>
  <si>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</si>
  <si>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</si>
  <si>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</si>
  <si>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</si>
  <si>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</si>
  <si>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</si>
  <si>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</si>
  <si>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</si>
  <si>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</si>
  <si>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</si>
  <si>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</si>
  <si>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</si>
  <si>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</si>
  <si>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</si>
  <si>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</si>
  <si>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</si>
  <si>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</si>
  <si>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</si>
  <si>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</si>
  <si>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</si>
  <si>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</si>
  <si>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</si>
  <si>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</si>
  <si>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</si>
  <si>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</si>
  <si>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</si>
  <si>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</si>
  <si>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</si>
  <si>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</si>
  <si>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</si>
  <si>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</si>
  <si>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</si>
  <si>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</si>
  <si>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</si>
  <si>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</si>
  <si>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</si>
  <si>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</si>
  <si>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</si>
  <si>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</si>
  <si>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</si>
  <si>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</si>
  <si>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</si>
  <si>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</si>
  <si>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</si>
  <si>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</si>
  <si>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</si>
  <si>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</si>
  <si>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</si>
  <si>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</si>
  <si>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</si>
  <si>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</si>
  <si>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</si>
  <si>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</si>
  <si>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</si>
  <si>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</si>
  <si>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</si>
  <si>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</si>
  <si>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</si>
  <si>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</si>
  <si>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</si>
  <si>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</si>
  <si>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</si>
  <si>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</si>
  <si>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</si>
  <si>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</si>
  <si>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</si>
  <si>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</si>
  <si>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</si>
  <si>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</si>
  <si>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</si>
  <si>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</si>
  <si>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</si>
  <si>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</si>
  <si>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</si>
  <si>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</si>
  <si>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</si>
  <si>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</si>
  <si>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</si>
  <si>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</si>
  <si>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</si>
  <si>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</si>
  <si>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</si>
  <si>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</si>
  <si>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</si>
  <si>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</si>
  <si>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</si>
  <si>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</si>
  <si>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</si>
  <si>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</si>
  <si>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</si>
  <si>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</si>
  <si>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</si>
  <si>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</si>
  <si>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</si>
  <si>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</si>
  <si>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</si>
  <si>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</si>
  <si>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</si>
  <si>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</si>
  <si>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</si>
  <si>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</si>
  <si>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</si>
  <si>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</si>
  <si>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</si>
  <si>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</si>
  <si>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</si>
  <si>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</si>
  <si>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</si>
  <si>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</si>
  <si>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</si>
  <si>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</si>
  <si>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</si>
  <si>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</si>
  <si>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</si>
  <si>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</si>
  <si>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</si>
  <si>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</si>
  <si>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</si>
  <si>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</si>
  <si>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</si>
  <si>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</si>
  <si>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</si>
  <si>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</si>
  <si>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</si>
  <si>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</si>
  <si>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</si>
  <si>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</si>
  <si>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</si>
  <si>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</si>
  <si>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</si>
  <si>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</si>
  <si>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</si>
  <si>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</si>
  <si>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</si>
  <si>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</si>
  <si>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</si>
  <si>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</si>
  <si>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</si>
  <si>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</si>
  <si>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</si>
  <si>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</si>
  <si>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</si>
  <si>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</si>
  <si>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</si>
  <si>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</si>
  <si>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</si>
  <si>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</si>
  <si>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</si>
  <si>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</si>
  <si>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</si>
  <si>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</si>
  <si>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</si>
  <si>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</si>
  <si>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</si>
  <si>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</si>
  <si>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</si>
  <si>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</si>
  <si>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</si>
  <si>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</si>
  <si>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</si>
  <si>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</si>
  <si>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</si>
  <si>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</si>
  <si>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</si>
  <si>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</si>
  <si>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</si>
  <si>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</si>
  <si>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</si>
  <si>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</si>
  <si>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</si>
  <si>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</si>
  <si>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</si>
  <si>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</si>
  <si>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</si>
  <si>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</si>
  <si>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</si>
  <si>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</si>
  <si>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</si>
  <si>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</si>
  <si>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</si>
  <si>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</si>
  <si>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</si>
  <si>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</si>
  <si>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</si>
  <si>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</si>
  <si>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</si>
  <si>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</si>
  <si>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</si>
  <si>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</si>
  <si>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</si>
  <si>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</si>
  <si>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</si>
  <si>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</si>
  <si>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</si>
  <si>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</si>
  <si>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</si>
  <si>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</si>
  <si>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</si>
  <si>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</si>
  <si>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</si>
  <si>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</si>
  <si>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</si>
  <si>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</si>
  <si>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</si>
  <si>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</si>
  <si>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</si>
  <si>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</si>
  <si>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</si>
  <si>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</si>
  <si>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</si>
  <si>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</si>
  <si>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</si>
  <si>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</si>
  <si>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</si>
  <si>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</si>
  <si>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</si>
  <si>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</si>
  <si>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</si>
  <si>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</si>
  <si>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</si>
  <si>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</si>
  <si>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</si>
  <si>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</si>
  <si>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</si>
  <si>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</si>
  <si>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</si>
  <si>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</si>
  <si>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</si>
  <si>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</si>
  <si>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</si>
  <si>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</si>
  <si>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</si>
  <si>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</si>
  <si>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</si>
  <si>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</si>
  <si>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</si>
  <si>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</si>
  <si>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</si>
  <si>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</si>
  <si>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</si>
  <si>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</si>
  <si>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</si>
  <si>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</si>
  <si>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</si>
  <si>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</si>
  <si>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</si>
  <si>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</si>
  <si>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</si>
  <si>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</si>
  <si>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</si>
  <si>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</si>
  <si>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</si>
  <si>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</si>
  <si>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</si>
  <si>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</si>
  <si>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</si>
  <si>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</si>
  <si>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</si>
  <si>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</si>
  <si>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</si>
  <si>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</si>
  <si>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</si>
  <si>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</si>
  <si>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</si>
  <si>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</si>
  <si>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</si>
  <si>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</si>
  <si>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</si>
  <si>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</si>
  <si>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</si>
  <si>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</si>
  <si>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</si>
  <si>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</si>
  <si>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</si>
  <si>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</si>
  <si>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</si>
  <si>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</si>
  <si>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</si>
  <si>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</si>
  <si>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</si>
  <si>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</si>
  <si>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</si>
  <si>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</si>
  <si>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</si>
  <si>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</si>
  <si>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</si>
  <si>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</si>
  <si>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</si>
  <si>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</si>
  <si>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</si>
  <si>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</si>
  <si>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</si>
  <si>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</si>
  <si>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</si>
  <si>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</si>
  <si>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</si>
  <si>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</si>
  <si>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</si>
  <si>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</si>
  <si>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</si>
  <si>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</si>
  <si>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</si>
  <si>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</si>
  <si>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</si>
  <si>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</si>
  <si>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</si>
  <si>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</si>
  <si>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</si>
  <si>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</si>
  <si>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</si>
  <si>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</si>
  <si>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</si>
  <si>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</si>
  <si>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</si>
  <si>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</si>
  <si>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</si>
  <si>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</si>
  <si>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</si>
  <si>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</si>
  <si>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</si>
  <si>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</si>
  <si>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</si>
  <si>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</si>
  <si>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</si>
  <si>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</si>
  <si>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</si>
  <si>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</si>
  <si>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</si>
  <si>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</si>
  <si>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</si>
  <si>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</si>
  <si>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</si>
  <si>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</si>
  <si>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</si>
  <si>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</si>
  <si>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</si>
  <si>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</si>
  <si>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</si>
  <si>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</si>
  <si>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</si>
  <si>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</si>
  <si>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</si>
  <si>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</si>
  <si>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</si>
  <si>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</si>
  <si>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</si>
  <si>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</si>
  <si>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</si>
  <si>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</si>
  <si>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</si>
  <si>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</si>
  <si>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</si>
  <si>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</si>
  <si>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</si>
  <si>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</si>
  <si>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</si>
  <si>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</si>
  <si>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</si>
  <si>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</si>
  <si>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</si>
  <si>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</si>
  <si>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</si>
  <si>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</si>
  <si>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</si>
  <si>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</si>
  <si>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</si>
  <si>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</si>
  <si>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</si>
  <si>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</si>
  <si>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</si>
  <si>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</si>
  <si>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</si>
  <si>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</si>
  <si>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</si>
  <si>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</si>
  <si>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</si>
  <si>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</si>
  <si>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</si>
  <si>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</si>
  <si>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</si>
  <si>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</si>
  <si>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</si>
  <si>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</si>
  <si>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</si>
  <si>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</si>
  <si>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</si>
  <si>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</si>
  <si>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</si>
  <si>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</si>
  <si>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</si>
  <si>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</si>
  <si>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</si>
  <si>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</si>
  <si>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</si>
  <si>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</si>
  <si>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</si>
  <si>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</si>
  <si>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</si>
  <si>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</si>
  <si>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</si>
  <si>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</si>
  <si>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</si>
  <si>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</si>
  <si>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</si>
  <si>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</si>
  <si>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</si>
  <si>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</si>
  <si>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</si>
  <si>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</si>
  <si>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</si>
  <si>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</si>
  <si>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</si>
  <si>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</si>
  <si>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</si>
  <si>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</si>
  <si>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</si>
  <si>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</si>
  <si>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</si>
  <si>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</si>
  <si>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</si>
  <si>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</si>
  <si>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</si>
  <si>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</si>
  <si>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</si>
  <si>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</si>
  <si>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</si>
  <si>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</si>
  <si>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</si>
  <si>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</si>
  <si>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</si>
  <si>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</si>
  <si>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</si>
  <si>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</si>
  <si>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</si>
  <si>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</si>
  <si>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</si>
  <si>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</si>
  <si>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</si>
  <si>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</si>
  <si>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</si>
  <si>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</si>
  <si>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</si>
  <si>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</si>
  <si>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</si>
  <si>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</si>
  <si>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</si>
  <si>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</si>
  <si>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</si>
  <si>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</si>
  <si>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</si>
  <si>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</si>
  <si>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</si>
  <si>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</si>
  <si>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</si>
  <si>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</si>
  <si>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</si>
  <si>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</si>
  <si>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</si>
  <si>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</si>
  <si>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</si>
  <si>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</si>
  <si>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</si>
  <si>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</si>
  <si>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</si>
  <si>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</si>
  <si>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</si>
  <si>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</si>
  <si>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</si>
  <si>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</si>
  <si>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</si>
  <si>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</si>
  <si>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</si>
  <si>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</si>
  <si>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</si>
  <si>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</si>
  <si>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</si>
  <si>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</si>
  <si>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</si>
  <si>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</si>
  <si>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</si>
  <si>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</si>
  <si>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</si>
  <si>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</si>
  <si>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</si>
  <si>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</si>
  <si>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</si>
  <si>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</si>
  <si>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</si>
  <si>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</si>
  <si>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</si>
  <si>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</si>
  <si>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</si>
  <si>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</si>
  <si>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</si>
  <si>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</si>
  <si>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</si>
  <si>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</si>
  <si>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</si>
  <si>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</si>
  <si>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</si>
  <si>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</si>
  <si>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</si>
  <si>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</si>
  <si>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</si>
  <si>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</si>
  <si>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</si>
  <si>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</si>
  <si>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</si>
  <si>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</si>
  <si>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</si>
  <si>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</si>
  <si>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</si>
  <si>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</si>
  <si>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</si>
  <si>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</si>
  <si>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</si>
  <si>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</si>
  <si>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</si>
  <si>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</si>
  <si>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</si>
  <si>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</si>
  <si>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</si>
  <si>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</si>
  <si>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</si>
  <si>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</si>
  <si>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</si>
  <si>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</si>
  <si>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</si>
  <si>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</si>
  <si>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</si>
  <si>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</si>
  <si>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</si>
  <si>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</si>
  <si>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</si>
  <si>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</si>
  <si>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</si>
  <si>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</si>
  <si>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</si>
  <si>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</si>
  <si>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</si>
  <si>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</si>
  <si>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</si>
  <si>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</si>
  <si>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</si>
  <si>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</si>
  <si>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</si>
  <si>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</si>
  <si>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</si>
  <si>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</si>
  <si>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</si>
  <si>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</si>
  <si>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</si>
  <si>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</si>
  <si>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</si>
  <si>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</si>
  <si>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</si>
  <si>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</si>
  <si>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</si>
  <si>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</si>
  <si>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</si>
  <si>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</si>
  <si>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</si>
  <si>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</si>
  <si>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</si>
  <si>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</si>
  <si>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</si>
  <si>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</si>
  <si>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</si>
  <si>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</si>
  <si>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</si>
  <si>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</si>
  <si>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</si>
  <si>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</si>
  <si>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</si>
  <si>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</si>
  <si>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</si>
  <si>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</si>
  <si>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</si>
  <si>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</si>
  <si>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</si>
  <si>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</si>
  <si>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</si>
  <si>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</si>
  <si>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</si>
  <si>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</si>
  <si>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</si>
  <si>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</si>
  <si>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</si>
  <si>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</si>
  <si>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</si>
  <si>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</si>
  <si>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</si>
  <si>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</si>
  <si>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</si>
  <si>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</si>
  <si>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</si>
  <si>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</si>
  <si>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</si>
  <si>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</si>
  <si>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</si>
  <si>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</si>
  <si>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</si>
  <si>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</si>
  <si>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</si>
  <si>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</si>
  <si>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</si>
  <si>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</si>
  <si>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</si>
  <si>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</si>
  <si>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</si>
  <si>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</si>
  <si>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</si>
  <si>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</si>
  <si>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</si>
  <si>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</si>
  <si>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</si>
  <si>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</si>
  <si>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</si>
  <si>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</si>
  <si>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</si>
  <si>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</si>
  <si>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</si>
  <si>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</si>
  <si>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</si>
  <si>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</si>
  <si>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</si>
  <si>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</si>
  <si>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</si>
  <si>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</si>
  <si>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</si>
  <si>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</si>
  <si>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</si>
  <si>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</si>
  <si>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</si>
  <si>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</si>
  <si>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</si>
  <si>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</si>
  <si>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</si>
  <si>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</si>
  <si>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</si>
  <si>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</si>
  <si>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</si>
  <si>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</si>
  <si>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</si>
  <si>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</si>
  <si>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</si>
  <si>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</si>
  <si>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</si>
  <si>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</si>
  <si>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</si>
  <si>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</si>
  <si>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</si>
  <si>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</si>
  <si>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</si>
  <si>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</si>
  <si>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</si>
  <si>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</si>
  <si>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</si>
  <si>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</si>
  <si>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</si>
  <si>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</si>
  <si>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</si>
  <si>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</si>
  <si>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</si>
  <si>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</si>
  <si>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</si>
  <si>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</si>
  <si>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</si>
  <si>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</si>
  <si>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</si>
  <si>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</si>
  <si>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</si>
  <si>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</si>
  <si>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</si>
  <si>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</si>
  <si>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</si>
  <si>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</si>
  <si>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</si>
  <si>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</si>
  <si>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</si>
  <si>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</si>
  <si>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</si>
  <si>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</si>
  <si>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</si>
  <si>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</si>
  <si>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</si>
  <si>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</si>
  <si>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</si>
  <si>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</si>
  <si>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</si>
  <si>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</si>
  <si>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</si>
  <si>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</si>
  <si>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</si>
  <si>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</si>
  <si>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</si>
  <si>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</si>
  <si>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</si>
  <si>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</si>
  <si>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</si>
  <si>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</si>
  <si>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</si>
  <si>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</si>
  <si>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</si>
  <si>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</si>
  <si>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</si>
  <si>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</si>
  <si>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</si>
  <si>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</si>
  <si>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</si>
  <si>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</si>
  <si>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</si>
  <si>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</si>
  <si>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</si>
  <si>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</si>
  <si>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</si>
  <si>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</si>
  <si>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</si>
  <si>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</si>
  <si>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</si>
  <si>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</si>
  <si>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</si>
  <si>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</si>
  <si>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</si>
  <si>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</si>
  <si>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</si>
  <si>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</si>
  <si>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</si>
  <si>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</si>
  <si>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</si>
  <si>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</si>
  <si>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</si>
  <si>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</si>
  <si>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</si>
  <si>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</si>
  <si>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</si>
  <si>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</si>
  <si>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</si>
  <si>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</si>
  <si>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</si>
  <si>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</si>
  <si>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</si>
  <si>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</si>
  <si>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</si>
  <si>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</si>
  <si>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</si>
  <si>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</si>
  <si>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</si>
  <si>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</si>
  <si>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</si>
  <si>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</si>
  <si>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</si>
  <si>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</si>
  <si>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</si>
  <si>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</si>
  <si>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</si>
  <si>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</si>
  <si>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</si>
  <si>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</si>
  <si>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</si>
  <si>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</si>
  <si>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</si>
  <si>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</si>
  <si>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</si>
  <si>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</si>
  <si>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</si>
  <si>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</si>
  <si>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</si>
  <si>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</si>
  <si>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</si>
  <si>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</si>
  <si>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</si>
  <si>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</si>
  <si>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</si>
  <si>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</si>
  <si>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</si>
  <si>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</si>
  <si>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</si>
  <si>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</si>
  <si>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</si>
  <si>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</si>
  <si>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</si>
  <si>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</si>
  <si>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</si>
  <si>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</si>
  <si>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</si>
  <si>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</si>
  <si>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</si>
  <si>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</si>
  <si>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</si>
  <si>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</si>
  <si>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</si>
  <si>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</si>
  <si>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</si>
  <si>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</si>
  <si>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</si>
  <si>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</si>
  <si>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</si>
  <si>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</si>
  <si>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</si>
  <si>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</si>
  <si>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</si>
  <si>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</si>
  <si>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</si>
  <si>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</si>
  <si>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</si>
  <si>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</si>
  <si>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</si>
  <si>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</si>
  <si>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</si>
  <si>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</si>
  <si>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</si>
  <si>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</si>
  <si>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</si>
  <si>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</si>
  <si>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</si>
  <si>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</si>
  <si>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</si>
  <si>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</si>
  <si>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</si>
  <si>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</si>
  <si>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</si>
  <si>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</si>
  <si>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</si>
  <si>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</si>
  <si>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</si>
  <si>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</si>
  <si>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</si>
  <si>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</si>
  <si>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</si>
  <si>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</si>
  <si>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</si>
  <si>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</si>
  <si>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</si>
  <si>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</si>
  <si>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</si>
  <si>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</si>
  <si>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</si>
  <si>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</si>
  <si>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</si>
  <si>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</si>
  <si>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</si>
  <si>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</si>
  <si>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</si>
  <si>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</si>
  <si>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</si>
  <si>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</si>
  <si>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</si>
  <si>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</si>
  <si>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</si>
  <si>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</si>
  <si>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</si>
  <si>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</si>
  <si>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</si>
  <si>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</si>
  <si>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</si>
  <si>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</si>
  <si>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</si>
  <si>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</si>
  <si>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</si>
  <si>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</si>
  <si>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</si>
  <si>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</si>
  <si>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</si>
  <si>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</si>
  <si>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</si>
  <si>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</si>
  <si>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</si>
  <si>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</si>
  <si>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</si>
  <si>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</si>
  <si>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</si>
  <si>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</si>
  <si>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</si>
  <si>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</si>
  <si>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</si>
  <si>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</si>
  <si>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</si>
  <si>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</si>
  <si>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</si>
  <si>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</si>
  <si>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</si>
  <si>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</si>
  <si>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</si>
  <si>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</si>
  <si>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</si>
  <si>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</si>
  <si>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</si>
  <si>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</si>
  <si>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</si>
  <si>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</si>
  <si>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</si>
  <si>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</si>
  <si>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</si>
  <si>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</si>
  <si>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</si>
  <si>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</si>
  <si>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</si>
  <si>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</si>
  <si>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</si>
  <si>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</si>
  <si>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</si>
  <si>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</si>
  <si>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</si>
  <si>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</si>
  <si>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</si>
  <si>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</si>
  <si>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</si>
  <si>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</si>
  <si>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</si>
  <si>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</si>
  <si>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</si>
  <si>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</si>
  <si>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</si>
  <si>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</si>
  <si>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</si>
  <si>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</si>
  <si>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</si>
  <si>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</si>
  <si>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</si>
  <si>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</si>
  <si>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</si>
  <si>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</si>
  <si>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</si>
  <si>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</si>
  <si>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</si>
  <si>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</si>
  <si>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</si>
  <si>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</si>
  <si>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</si>
  <si>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</si>
  <si>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</si>
  <si>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</si>
  <si>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</si>
  <si>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</si>
  <si>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</si>
  <si>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</si>
  <si>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</si>
  <si>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</si>
  <si>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</si>
  <si>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</si>
  <si>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</si>
  <si>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</si>
  <si>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</si>
  <si>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</si>
  <si>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</si>
  <si>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</si>
  <si>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</si>
  <si>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</si>
  <si>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</si>
  <si>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</si>
  <si>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</si>
  <si>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</si>
  <si>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</si>
  <si>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</si>
  <si>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</si>
  <si>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</si>
  <si>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</si>
  <si>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</si>
  <si>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</si>
  <si>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</si>
  <si>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</si>
  <si>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</si>
  <si>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</si>
  <si>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</si>
  <si>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</si>
  <si>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</si>
  <si>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</si>
  <si>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</si>
  <si>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</si>
  <si>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</si>
  <si>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</si>
  <si>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</si>
  <si>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</si>
  <si>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</si>
  <si>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</si>
  <si>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</si>
  <si>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</si>
  <si>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</si>
  <si>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</si>
  <si>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</si>
  <si>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</si>
  <si>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</si>
  <si>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</si>
  <si>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</si>
  <si>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</si>
  <si>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</si>
  <si>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</si>
  <si>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</si>
  <si>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</si>
  <si>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</si>
  <si>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</si>
  <si>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</si>
  <si>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</si>
  <si>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</si>
  <si>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</si>
  <si>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</si>
  <si>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</si>
  <si>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</si>
  <si>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</si>
  <si>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</si>
  <si>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</si>
  <si>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</si>
  <si>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</si>
  <si>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</si>
  <si>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</si>
  <si>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</si>
  <si>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</si>
  <si>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</si>
  <si>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</si>
  <si>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</si>
  <si>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</si>
  <si>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</si>
  <si>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</si>
  <si>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</si>
  <si>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</si>
  <si>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</si>
  <si>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</si>
  <si>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</si>
  <si>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</si>
  <si>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</si>
  <si>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</si>
  <si>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</si>
  <si>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</si>
  <si>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</si>
  <si>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</si>
  <si>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</si>
  <si>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</si>
  <si>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</si>
  <si>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</si>
  <si>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</si>
  <si>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</si>
  <si>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</si>
  <si>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</si>
  <si>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</si>
  <si>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</si>
  <si>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</si>
  <si>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</si>
  <si>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</si>
  <si>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</si>
  <si>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</si>
  <si>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</si>
  <si>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</si>
  <si>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</si>
  <si>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</si>
  <si>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</si>
  <si>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</si>
  <si>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</si>
  <si>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</si>
  <si>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</si>
  <si>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</si>
  <si>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</si>
  <si>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</si>
  <si>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</si>
  <si>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</si>
  <si>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</si>
  <si>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</si>
  <si>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</si>
  <si>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</si>
  <si>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</si>
  <si>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</si>
  <si>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</si>
  <si>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</si>
  <si>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</si>
  <si>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</si>
  <si>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</si>
  <si>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</si>
  <si>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</si>
  <si>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</si>
  <si>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</si>
  <si>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</si>
  <si>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</si>
  <si>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</si>
  <si>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</si>
  <si>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</si>
  <si>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</si>
  <si>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</si>
  <si>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</si>
  <si>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</si>
  <si>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</si>
  <si>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</si>
  <si>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</si>
  <si>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</si>
  <si>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</si>
  <si>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</si>
  <si>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</si>
  <si>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</si>
  <si>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</si>
  <si>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</si>
  <si>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</si>
  <si>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</si>
  <si>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</si>
  <si>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</si>
  <si>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</si>
  <si>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</si>
  <si>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</si>
  <si>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</si>
  <si>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</si>
  <si>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</si>
  <si>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</si>
  <si>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</si>
  <si>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</si>
  <si>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</si>
  <si>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</si>
  <si>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</si>
  <si>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</si>
  <si>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</si>
  <si>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</si>
  <si>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</si>
  <si>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</si>
  <si>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</si>
  <si>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</si>
  <si>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</si>
  <si>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</si>
  <si>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</si>
  <si>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</si>
  <si>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</si>
  <si>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</si>
  <si>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</si>
  <si>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</si>
  <si>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</si>
  <si>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</si>
  <si>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</si>
  <si>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</si>
  <si>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</si>
  <si>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</si>
  <si>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</si>
  <si>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</si>
  <si>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</si>
  <si>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</si>
  <si>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</si>
  <si>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</si>
  <si>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</si>
  <si>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</si>
  <si>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</si>
  <si>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</si>
  <si>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</si>
  <si>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</si>
  <si>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</si>
  <si>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</si>
  <si>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</si>
  <si>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</si>
  <si>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</si>
  <si>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</si>
  <si>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</si>
  <si>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</si>
  <si>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</si>
  <si>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</si>
  <si>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</si>
  <si>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</si>
  <si>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</si>
  <si>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</si>
  <si>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</si>
  <si>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</si>
  <si>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</si>
  <si>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</si>
  <si>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</si>
  <si>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</si>
  <si>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</si>
  <si>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</si>
  <si>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</si>
  <si>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</si>
  <si>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</si>
  <si>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</si>
  <si>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</si>
  <si>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</si>
  <si>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</si>
  <si>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</si>
  <si>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</si>
  <si>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</si>
  <si>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</si>
  <si>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</si>
  <si>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</si>
  <si>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</si>
  <si>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</si>
  <si>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</si>
  <si>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</si>
  <si>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</si>
  <si>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</si>
  <si>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</si>
  <si>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</si>
  <si>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</si>
  <si>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</si>
  <si>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</si>
  <si>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</si>
  <si>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</si>
  <si>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</si>
  <si>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</si>
  <si>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</si>
  <si>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</si>
  <si>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</si>
  <si>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</si>
  <si>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</si>
  <si>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</si>
  <si>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</si>
  <si>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</si>
  <si>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</si>
  <si>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</si>
  <si>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</si>
  <si>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</si>
  <si>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</si>
  <si>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</si>
  <si>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</si>
  <si>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</si>
  <si>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</si>
  <si>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</si>
  <si>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</si>
  <si>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</si>
  <si>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</si>
  <si>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</si>
  <si>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</si>
  <si>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</si>
  <si>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</si>
  <si>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</si>
  <si>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</si>
  <si>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</si>
  <si>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</si>
  <si>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</si>
  <si>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</si>
  <si>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</si>
  <si>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</si>
  <si>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</si>
  <si>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</si>
  <si>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</si>
  <si>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</si>
  <si>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</si>
  <si>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</si>
  <si>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</si>
  <si>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</si>
  <si>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</si>
  <si>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</si>
  <si>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</si>
  <si>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</si>
  <si>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</si>
  <si>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</si>
  <si>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</si>
  <si>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</si>
  <si>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</si>
  <si>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</si>
  <si>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</si>
  <si>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</si>
  <si>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</si>
  <si>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</si>
  <si>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</si>
  <si>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</si>
  <si>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</si>
  <si>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</si>
  <si>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</si>
  <si>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</si>
  <si>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</si>
  <si>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</si>
  <si>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</si>
  <si>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</si>
  <si>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</si>
  <si>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</si>
  <si>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</si>
  <si>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</si>
  <si>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</si>
  <si>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</si>
  <si>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</si>
  <si>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</si>
  <si>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</si>
  <si>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</si>
  <si>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</si>
  <si>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</si>
  <si>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</si>
  <si>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</si>
  <si>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</si>
  <si>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</si>
  <si>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</si>
  <si>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</si>
  <si>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</si>
  <si>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</si>
  <si>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</si>
  <si>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</si>
  <si>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</si>
  <si>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</si>
  <si>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</si>
  <si>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</si>
  <si>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</si>
  <si>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</si>
  <si>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</si>
  <si>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</si>
  <si>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</si>
  <si>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</si>
  <si>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</si>
  <si>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</si>
  <si>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</si>
  <si>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</si>
  <si>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</si>
  <si>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</si>
  <si>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</si>
  <si>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</si>
  <si>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</si>
  <si>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</si>
  <si>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</si>
  <si>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</si>
  <si>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</si>
  <si>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</si>
  <si>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</si>
  <si>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</si>
  <si>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</si>
  <si>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</si>
  <si>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</si>
  <si>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</si>
  <si>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</si>
  <si>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</si>
  <si>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</si>
  <si>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</si>
  <si>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</si>
  <si>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</si>
  <si>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</si>
  <si>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</si>
  <si>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</si>
  <si>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</si>
  <si>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</si>
  <si>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</si>
  <si>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</si>
  <si>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</si>
  <si>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</si>
  <si>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</si>
  <si>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</si>
  <si>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</si>
  <si>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</si>
  <si>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</si>
  <si>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</si>
  <si>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</si>
  <si>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</si>
  <si>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</si>
  <si>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</si>
  <si>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</si>
  <si>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</si>
  <si>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</si>
  <si>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</si>
  <si>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</si>
  <si>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</si>
  <si>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</si>
  <si>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</si>
  <si>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</si>
  <si>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</si>
  <si>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</si>
  <si>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</si>
  <si>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</si>
  <si>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</si>
  <si>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</si>
  <si>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</si>
  <si>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</si>
  <si>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</si>
  <si>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</si>
  <si>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</si>
  <si>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</si>
  <si>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</si>
  <si>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</si>
  <si>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</si>
  <si>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</si>
  <si>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</si>
  <si>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</si>
  <si>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</si>
  <si>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</si>
  <si>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</si>
  <si>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</si>
  <si>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</si>
  <si>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</si>
  <si>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</si>
  <si>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</si>
  <si>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</si>
  <si>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</si>
  <si>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</si>
  <si>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</si>
  <si>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</si>
  <si>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</si>
  <si>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</si>
  <si>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</si>
  <si>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</si>
  <si>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</si>
  <si>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</si>
  <si>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</si>
  <si>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</si>
  <si>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</si>
  <si>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</si>
  <si>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</si>
  <si>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</si>
  <si>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</si>
  <si>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</si>
  <si>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</si>
  <si>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</si>
  <si>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</si>
  <si>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</si>
  <si>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</si>
  <si>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</si>
  <si>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</si>
  <si>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</si>
  <si>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</si>
  <si>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</si>
  <si>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</si>
  <si>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</si>
  <si>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</si>
  <si>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</si>
  <si>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</si>
  <si>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</si>
  <si>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</si>
  <si>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</si>
  <si>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</si>
  <si>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</si>
  <si>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</si>
  <si>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</si>
  <si>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</si>
  <si>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</si>
  <si>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</si>
  <si>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</si>
  <si>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</si>
  <si>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</si>
  <si>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</si>
  <si>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</si>
  <si>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</si>
  <si>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</si>
  <si>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</si>
  <si>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</si>
  <si>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</si>
  <si>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</si>
  <si>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</si>
  <si>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</si>
  <si>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</si>
  <si>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</si>
  <si>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</si>
  <si>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</si>
  <si>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</si>
  <si>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</si>
  <si>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</si>
  <si>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</si>
  <si>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</si>
  <si>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</si>
  <si>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</si>
  <si>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</si>
  <si>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</si>
  <si>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</si>
  <si>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</si>
  <si>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</si>
  <si>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</si>
  <si>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</si>
  <si>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</si>
  <si>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</si>
  <si>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</si>
  <si>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</si>
  <si>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</si>
  <si>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</si>
  <si>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</si>
  <si>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</si>
  <si>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</si>
  <si>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</si>
  <si>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</si>
  <si>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</si>
  <si>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</si>
  <si>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</si>
  <si>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</si>
  <si>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</si>
  <si>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</si>
  <si>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</si>
  <si>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</si>
  <si>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</si>
  <si>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</si>
  <si>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</si>
  <si>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</si>
  <si>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</si>
  <si>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</si>
  <si>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</si>
  <si>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</si>
  <si>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</si>
  <si>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</si>
  <si>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</si>
  <si>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</si>
  <si>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</si>
  <si>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</si>
  <si>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</si>
  <si>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</si>
  <si>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</si>
  <si>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</si>
  <si>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</si>
  <si>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</si>
  <si>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</si>
  <si>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</si>
  <si>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</si>
  <si>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</si>
  <si>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</si>
  <si>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</si>
  <si>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</si>
  <si>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</si>
  <si>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</si>
  <si>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</si>
  <si>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</si>
  <si>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</si>
  <si>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</si>
  <si>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</si>
  <si>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</si>
  <si>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</si>
  <si>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</si>
  <si>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</si>
  <si>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</si>
  <si>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</si>
  <si>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</si>
  <si>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</si>
  <si>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</si>
  <si>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</si>
  <si>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</si>
  <si>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</si>
  <si>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</si>
  <si>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</si>
  <si>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</si>
  <si>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</si>
  <si>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</si>
  <si>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</si>
  <si>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</si>
  <si>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</si>
  <si>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</si>
  <si>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</si>
  <si>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</si>
  <si>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</si>
  <si>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</si>
  <si>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</si>
  <si>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</si>
  <si>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</si>
  <si>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</si>
  <si>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</si>
  <si>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</si>
  <si>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</si>
  <si>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</si>
  <si>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</si>
  <si>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</si>
  <si>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</si>
  <si>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</si>
  <si>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</si>
  <si>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</si>
  <si>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</si>
  <si>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</si>
  <si>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</si>
  <si>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</si>
  <si>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</si>
  <si>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</si>
  <si>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</si>
  <si>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</si>
  <si>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</si>
  <si>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</si>
  <si>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</si>
  <si>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</si>
  <si>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</si>
  <si>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</si>
  <si>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</si>
  <si>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</si>
  <si>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</si>
  <si>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</si>
  <si>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</si>
  <si>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</si>
  <si>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</si>
  <si>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</si>
  <si>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</si>
  <si>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</si>
  <si>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</si>
  <si>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</si>
  <si>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</si>
  <si>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</si>
  <si>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</si>
  <si>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</si>
  <si>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</si>
  <si>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</si>
  <si>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</si>
  <si>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</si>
  <si>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</si>
  <si>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</si>
  <si>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</si>
  <si>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</si>
  <si>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</si>
  <si>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</si>
  <si>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</si>
  <si>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</si>
  <si>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</si>
  <si>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</si>
  <si>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</si>
  <si>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</si>
  <si>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</si>
  <si>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</si>
  <si>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</si>
  <si>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</si>
  <si>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</si>
  <si>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</si>
  <si>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</si>
  <si>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</si>
  <si>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</si>
  <si>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</si>
  <si>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</si>
  <si>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</si>
  <si>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</si>
  <si>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</si>
  <si>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</si>
  <si>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</si>
  <si>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</si>
  <si>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</si>
  <si>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</si>
  <si>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</si>
  <si>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</si>
  <si>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</si>
  <si>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</si>
  <si>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</si>
  <si>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</si>
  <si>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</si>
  <si>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</si>
  <si>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</si>
  <si>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</si>
  <si>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</si>
  <si>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</si>
  <si>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</si>
  <si>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</si>
  <si>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</si>
  <si>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</si>
  <si>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</si>
  <si>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</si>
  <si>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</si>
  <si>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</si>
  <si>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</si>
  <si>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</si>
  <si>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</si>
  <si>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</si>
  <si>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</si>
  <si>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</si>
  <si>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</si>
  <si>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</si>
  <si>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</si>
  <si>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</si>
  <si>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</si>
  <si>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</si>
  <si>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</si>
  <si>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</si>
  <si>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</si>
  <si>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</si>
  <si>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</si>
  <si>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</si>
  <si>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</si>
  <si>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</si>
  <si>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</si>
  <si>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</si>
  <si>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</si>
  <si>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</si>
  <si>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</si>
  <si>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</si>
  <si>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</si>
  <si>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</si>
  <si>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</si>
  <si>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</si>
  <si>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</si>
  <si>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</si>
  <si>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</si>
  <si>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</si>
  <si>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</si>
  <si>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</si>
  <si>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</si>
  <si>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</si>
  <si>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</si>
  <si>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</si>
  <si>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</si>
  <si>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</si>
  <si>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</si>
  <si>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</si>
  <si>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</si>
  <si>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</si>
  <si>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</si>
  <si>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</si>
  <si>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</si>
  <si>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</si>
  <si>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</si>
  <si>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</si>
  <si>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</si>
  <si>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</si>
  <si>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</si>
  <si>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</si>
  <si>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</si>
  <si>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</si>
  <si>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</si>
  <si>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</si>
  <si>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</si>
  <si>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</si>
  <si>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</si>
  <si>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</si>
  <si>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</si>
  <si>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</si>
  <si>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</si>
  <si>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</si>
  <si>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</si>
  <si>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</si>
  <si>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</si>
  <si>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</si>
  <si>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</si>
  <si>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</si>
  <si>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</si>
  <si>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</si>
  <si>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</si>
  <si>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</si>
  <si>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</si>
  <si>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</si>
  <si>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</si>
  <si>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</si>
  <si>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</si>
  <si>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</si>
  <si>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</si>
  <si>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</si>
  <si>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</si>
  <si>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</si>
  <si>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</si>
  <si>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</si>
  <si>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</si>
  <si>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</si>
  <si>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</si>
  <si>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</si>
  <si>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</si>
  <si>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</si>
  <si>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</si>
  <si>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</si>
  <si>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</si>
  <si>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</si>
  <si>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</si>
  <si>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</si>
  <si>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</si>
  <si>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</si>
  <si>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</si>
  <si>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</si>
  <si>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</si>
  <si>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</si>
  <si>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</si>
  <si>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</si>
  <si>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</si>
  <si>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</si>
  <si>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</si>
  <si>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</si>
  <si>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</si>
  <si>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</si>
  <si>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</si>
  <si>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</si>
  <si>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</si>
  <si>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</si>
  <si>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</si>
  <si>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</si>
  <si>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</si>
  <si>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</si>
  <si>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</si>
  <si>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</si>
  <si>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</si>
  <si>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</si>
  <si>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</si>
  <si>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</si>
  <si>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</si>
  <si>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</si>
  <si>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</si>
  <si>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</si>
  <si>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</si>
  <si>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</si>
  <si>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</si>
  <si>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</si>
  <si>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</si>
  <si>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</si>
  <si>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</si>
  <si>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</si>
  <si>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</si>
  <si>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</si>
  <si>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</si>
  <si>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</si>
  <si>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</si>
  <si>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</si>
  <si>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</si>
  <si>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</si>
  <si>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</si>
  <si>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</si>
  <si>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</si>
  <si>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</si>
  <si>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</si>
  <si>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</si>
  <si>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</si>
  <si>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</si>
  <si>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</si>
  <si>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</si>
  <si>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</si>
  <si>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</si>
  <si>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</si>
  <si>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</si>
  <si>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</si>
  <si>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</si>
  <si>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</si>
  <si>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</si>
  <si>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</si>
  <si>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</si>
  <si>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</si>
  <si>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</si>
  <si>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</si>
  <si>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</si>
  <si>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</si>
  <si>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</si>
  <si>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</si>
  <si>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</si>
  <si>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</si>
  <si>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</si>
  <si>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</si>
  <si>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</si>
  <si>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</si>
  <si>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</si>
  <si>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</si>
  <si>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</si>
  <si>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</si>
  <si>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</si>
  <si>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</si>
  <si>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</si>
  <si>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</si>
  <si>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</si>
  <si>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</si>
  <si>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</si>
  <si>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</si>
  <si>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</si>
  <si>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</si>
  <si>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</si>
  <si>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</si>
  <si>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</si>
  <si>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</si>
  <si>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</si>
  <si>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</si>
  <si>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</si>
  <si>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</si>
  <si>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</si>
  <si>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</si>
  <si>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</si>
  <si>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</si>
  <si>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</si>
  <si>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</si>
  <si>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</si>
  <si>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</si>
  <si>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</si>
  <si>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</si>
  <si>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</si>
  <si>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</si>
  <si>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</si>
  <si>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</si>
  <si>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</si>
  <si>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</si>
  <si>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</si>
  <si>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</si>
  <si>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</si>
  <si>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</si>
  <si>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</si>
  <si>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</si>
  <si>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</si>
  <si>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</si>
  <si>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</si>
  <si>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</si>
  <si>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</si>
  <si>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</si>
  <si>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</si>
  <si>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</si>
  <si>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</si>
  <si>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</si>
  <si>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</si>
  <si>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</si>
  <si>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</si>
  <si>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</si>
  <si>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</si>
  <si>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</si>
  <si>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</si>
  <si>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</si>
  <si>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</si>
  <si>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</si>
  <si>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</si>
  <si>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</si>
  <si>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</si>
  <si>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</si>
  <si>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</si>
  <si>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</si>
  <si>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</si>
  <si>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</si>
  <si>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</si>
  <si>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</si>
  <si>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</si>
  <si>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</si>
  <si>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</si>
  <si>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</si>
  <si>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</si>
  <si>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</si>
  <si>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</si>
  <si>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</si>
  <si>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</si>
  <si>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</si>
  <si>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</si>
  <si>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</si>
  <si>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</si>
  <si>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</si>
  <si>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</si>
  <si>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</si>
  <si>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</si>
  <si>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</si>
  <si>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</si>
  <si>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</si>
  <si>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</si>
  <si>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</si>
  <si>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</si>
  <si>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</si>
  <si>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</si>
  <si>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</si>
  <si>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</si>
  <si>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</si>
  <si>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</si>
  <si>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</si>
  <si>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</si>
  <si>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</si>
  <si>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</si>
  <si>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</si>
  <si>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</si>
  <si>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</si>
  <si>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</si>
  <si>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</si>
  <si>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</si>
  <si>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</si>
  <si>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</si>
  <si>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</si>
  <si>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</si>
  <si>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</si>
  <si>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</si>
  <si>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</si>
  <si>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</si>
  <si>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</si>
  <si>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</si>
  <si>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</si>
  <si>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</si>
  <si>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</si>
  <si>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</si>
  <si>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</si>
  <si>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</si>
  <si>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</si>
  <si>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</si>
  <si>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</si>
  <si>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</si>
  <si>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</si>
  <si>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</si>
  <si>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</si>
  <si>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</si>
  <si>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</si>
  <si>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</si>
  <si>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</si>
  <si>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</si>
  <si>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</si>
  <si>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</si>
  <si>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</si>
  <si>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</si>
  <si>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</si>
  <si>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</si>
  <si>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</si>
  <si>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</si>
  <si>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</si>
  <si>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</si>
  <si>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</si>
  <si>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</si>
  <si>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</si>
  <si>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</si>
  <si>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</si>
  <si>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</si>
  <si>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</si>
  <si>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</si>
  <si>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</si>
  <si>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</si>
  <si>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</si>
  <si>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</si>
  <si>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</si>
  <si>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</si>
  <si>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</si>
  <si>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</si>
  <si>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</si>
  <si>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</si>
  <si>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</si>
  <si>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</si>
  <si>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</si>
  <si>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</si>
  <si>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</si>
  <si>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</si>
  <si>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</si>
  <si>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</si>
  <si>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</si>
  <si>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</si>
  <si>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</si>
  <si>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</si>
  <si>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</si>
  <si>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</si>
  <si>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</si>
  <si>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</si>
  <si>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</si>
  <si>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</si>
  <si>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</si>
  <si>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</si>
  <si>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</si>
  <si>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</si>
  <si>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</si>
  <si>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</si>
  <si>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</si>
  <si>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</si>
  <si>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</si>
  <si>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</si>
  <si>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</si>
  <si>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</si>
  <si>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</si>
  <si>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</si>
  <si>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</si>
  <si>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</si>
  <si>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</si>
  <si>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</si>
  <si>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</si>
  <si>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</si>
  <si>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</si>
  <si>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</si>
  <si>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</si>
  <si>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</si>
  <si>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</si>
  <si>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</si>
  <si>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</si>
  <si>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</si>
  <si>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</si>
  <si>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</si>
  <si>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</si>
  <si>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</si>
  <si>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</si>
  <si>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</si>
  <si>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</si>
  <si>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</si>
  <si>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</si>
  <si>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</si>
  <si>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</si>
  <si>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</si>
  <si>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</si>
  <si>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</si>
  <si>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</si>
  <si>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</si>
  <si>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</si>
  <si>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</si>
  <si>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</si>
  <si>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</si>
  <si>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</si>
  <si>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</si>
  <si>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</si>
  <si>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</si>
  <si>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</si>
  <si>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</si>
  <si>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</si>
  <si>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</si>
  <si>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</si>
  <si>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</si>
  <si>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</si>
  <si>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</si>
  <si>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</si>
  <si>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</si>
  <si>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</si>
  <si>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</si>
  <si>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</si>
  <si>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</si>
  <si>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</si>
  <si>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</si>
  <si>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</si>
  <si>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</si>
  <si>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</si>
  <si>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</si>
  <si>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</si>
  <si>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</si>
  <si>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</si>
  <si>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</si>
  <si>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</si>
  <si>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</si>
  <si>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</si>
  <si>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</si>
  <si>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</si>
  <si>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</si>
  <si>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</si>
  <si>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</si>
  <si>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</si>
  <si>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</si>
  <si>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</si>
  <si>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</si>
  <si>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</si>
  <si>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</si>
  <si>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</si>
  <si>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</si>
  <si>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</si>
  <si>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</si>
  <si>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</si>
  <si>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</si>
  <si>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</si>
  <si>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</si>
  <si>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</si>
  <si>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</si>
  <si>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</si>
  <si>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</si>
  <si>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</si>
  <si>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</si>
  <si>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</si>
  <si>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</si>
  <si>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</si>
  <si>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</si>
  <si>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</si>
  <si>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</si>
  <si>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</si>
  <si>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</si>
  <si>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</si>
  <si>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</si>
  <si>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</si>
  <si>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</si>
  <si>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</si>
  <si>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</si>
  <si>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</si>
  <si>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</si>
  <si>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</si>
  <si>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</si>
  <si>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</si>
  <si>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</si>
  <si>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</si>
  <si>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</si>
  <si>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</si>
  <si>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</si>
  <si>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</si>
  <si>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</si>
  <si>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</si>
  <si>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</si>
  <si>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</si>
  <si>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</si>
  <si>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</si>
  <si>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</si>
  <si>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</si>
  <si>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</si>
  <si>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</si>
  <si>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</si>
  <si>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</si>
  <si>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</si>
  <si>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</si>
  <si>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</si>
  <si>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</si>
  <si>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</si>
  <si>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</si>
  <si>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</si>
  <si>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</si>
  <si>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</si>
  <si>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</si>
  <si>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</si>
  <si>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</si>
  <si>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</si>
  <si>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</si>
  <si>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</si>
  <si>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</si>
  <si>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</si>
  <si>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</si>
  <si>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</si>
  <si>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</si>
  <si>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</si>
  <si>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</si>
  <si>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</si>
  <si>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</si>
  <si>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</si>
  <si>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</si>
  <si>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</si>
  <si>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</si>
  <si>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</si>
  <si>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</si>
  <si>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</si>
  <si>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</si>
  <si>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</si>
  <si>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</si>
  <si>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</si>
  <si>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</si>
  <si>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</si>
  <si>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</si>
  <si>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</si>
  <si>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</si>
  <si>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</si>
  <si>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</si>
  <si>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</si>
  <si>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</si>
  <si>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</si>
  <si>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</si>
  <si>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</si>
  <si>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</si>
  <si>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</si>
  <si>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</si>
  <si>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</si>
  <si>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</si>
  <si>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</si>
  <si>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</si>
  <si>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</si>
  <si>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</si>
  <si>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</si>
  <si>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</si>
  <si>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</si>
  <si>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</si>
  <si>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</si>
  <si>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</si>
  <si>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</si>
  <si>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</si>
  <si>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</si>
  <si>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</si>
  <si>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</si>
  <si>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</si>
  <si>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</si>
  <si>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</si>
  <si>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</si>
  <si>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</si>
  <si>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</si>
  <si>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</si>
  <si>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</si>
  <si>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</si>
  <si>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</si>
  <si>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</si>
  <si>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</si>
  <si>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</si>
  <si>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</si>
  <si>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</si>
  <si>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</si>
  <si>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</si>
  <si>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</si>
  <si>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</si>
  <si>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</si>
  <si>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</si>
  <si>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</si>
  <si>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</si>
  <si>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</si>
  <si>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</si>
  <si>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</si>
  <si>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</si>
  <si>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</si>
  <si>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</si>
  <si>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</si>
  <si>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</si>
  <si>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</si>
  <si>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</si>
  <si>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</si>
  <si>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</si>
  <si>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</si>
  <si>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</si>
  <si>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</si>
  <si>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</si>
  <si>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</si>
  <si>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</si>
  <si>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</si>
  <si>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</si>
  <si>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</si>
  <si>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</si>
  <si>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</si>
  <si>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</si>
  <si>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</si>
  <si>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</si>
  <si>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</si>
  <si>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</si>
  <si>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</si>
  <si>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</si>
  <si>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</si>
  <si>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</si>
  <si>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</si>
  <si>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</si>
  <si>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</si>
  <si>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</si>
  <si>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</si>
  <si>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</si>
  <si>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</si>
  <si>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</si>
  <si>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</si>
  <si>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</si>
  <si>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</si>
  <si>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</si>
  <si>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</si>
  <si>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</si>
  <si>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</si>
  <si>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</si>
  <si>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</si>
  <si>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</si>
  <si>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</si>
  <si>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</si>
  <si>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</si>
  <si>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</si>
  <si>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</si>
  <si>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</si>
  <si>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</si>
  <si>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</si>
  <si>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</si>
  <si>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</si>
  <si>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</si>
  <si>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</si>
  <si>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</si>
  <si>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</si>
  <si>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</si>
  <si>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</si>
  <si>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</si>
  <si>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</si>
  <si>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</si>
  <si>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</si>
  <si>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</si>
  <si>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</si>
  <si>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</si>
  <si>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</si>
  <si>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</si>
  <si>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</si>
  <si>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</si>
  <si>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</si>
  <si>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</si>
  <si>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</si>
  <si>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</si>
  <si>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</si>
  <si>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</si>
  <si>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</si>
  <si>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</si>
  <si>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</si>
  <si>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</si>
  <si>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</si>
  <si>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</si>
  <si>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</si>
  <si>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</si>
  <si>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</si>
  <si>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</si>
  <si>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</si>
  <si>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</si>
  <si>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</si>
  <si>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</si>
  <si>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</si>
  <si>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</si>
  <si>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</si>
  <si>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</si>
  <si>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</si>
  <si>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</si>
  <si>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</si>
  <si>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</si>
  <si>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</si>
  <si>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</si>
  <si>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</si>
  <si>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</si>
  <si>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</si>
  <si>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</si>
  <si>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</si>
  <si>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</si>
  <si>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</si>
  <si>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</si>
  <si>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</si>
  <si>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</si>
  <si>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</si>
  <si>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</si>
  <si>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</si>
  <si>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</si>
  <si>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</si>
  <si>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</si>
  <si>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</si>
  <si>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</si>
  <si>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</si>
  <si>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</si>
  <si>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</si>
  <si>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</si>
  <si>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</si>
  <si>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</si>
  <si>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</si>
  <si>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</si>
  <si>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</si>
  <si>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</si>
  <si>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</si>
  <si>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</si>
  <si>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</si>
  <si>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</si>
  <si>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</si>
  <si>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</si>
  <si>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</si>
  <si>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</si>
  <si>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</si>
  <si>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</si>
  <si>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</si>
  <si>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</si>
  <si>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</si>
  <si>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</si>
  <si>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</si>
  <si>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</si>
  <si>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</si>
  <si>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</si>
  <si>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</si>
  <si>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</si>
  <si>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</si>
  <si>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</si>
  <si>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</si>
  <si>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</si>
  <si>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</si>
  <si>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</si>
  <si>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</si>
  <si>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</si>
  <si>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</si>
  <si>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</si>
  <si>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</si>
  <si>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</si>
  <si>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</si>
  <si>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</si>
  <si>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</si>
  <si>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</si>
  <si>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</si>
  <si>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</si>
  <si>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</si>
  <si>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</si>
  <si>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</si>
  <si>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</si>
  <si>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</si>
  <si>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</si>
  <si>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</si>
  <si>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</si>
  <si>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</si>
  <si>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</si>
  <si>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</si>
  <si>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</si>
  <si>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</si>
  <si>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</si>
  <si>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</si>
  <si>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</si>
  <si>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</si>
  <si>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</si>
  <si>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</si>
  <si>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</si>
  <si>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</si>
  <si>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</si>
  <si>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</si>
  <si>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</si>
  <si>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</si>
  <si>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</si>
  <si>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</si>
  <si>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</si>
  <si>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</si>
  <si>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</si>
  <si>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</si>
  <si>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</si>
  <si>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</si>
  <si>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</si>
  <si>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</si>
  <si>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</si>
  <si>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</si>
  <si>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</si>
  <si>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</si>
  <si>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</si>
  <si>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</si>
  <si>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</si>
  <si>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</si>
  <si>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</si>
  <si>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</si>
  <si>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</si>
  <si>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</si>
  <si>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</si>
  <si>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</si>
  <si>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</si>
  <si>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</si>
  <si>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</si>
  <si>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</si>
  <si>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</si>
  <si>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</si>
  <si>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</si>
  <si>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</si>
  <si>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</si>
  <si>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</si>
  <si>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</si>
  <si>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</si>
  <si>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</si>
  <si>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</si>
  <si>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</si>
  <si>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</si>
  <si>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</si>
  <si>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</si>
  <si>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</si>
  <si>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</si>
  <si>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</si>
  <si>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</si>
  <si>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</si>
  <si>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</si>
  <si>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</si>
  <si>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</si>
  <si>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</si>
  <si>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</si>
  <si>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</si>
  <si>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</si>
  <si>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</si>
  <si>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</si>
  <si>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</si>
  <si>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</si>
  <si>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</si>
  <si>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</si>
  <si>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</si>
  <si>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</si>
  <si>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</si>
  <si>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</si>
  <si>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</si>
  <si>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</si>
  <si>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</si>
  <si>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</si>
  <si>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</si>
  <si>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</si>
  <si>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</si>
  <si>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</si>
  <si>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</si>
  <si>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</si>
  <si>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</si>
  <si>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</si>
  <si>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</si>
  <si>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</si>
  <si>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</si>
  <si>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</si>
  <si>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</si>
  <si>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</si>
  <si>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</si>
  <si>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</si>
  <si>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</si>
  <si>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</si>
  <si>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</si>
  <si>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</si>
  <si>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</si>
  <si>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</si>
  <si>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</si>
  <si>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</si>
  <si>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</si>
  <si>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</si>
  <si>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</si>
  <si>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</si>
  <si>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</si>
  <si>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</si>
  <si>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</si>
  <si>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</si>
  <si>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</si>
  <si>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</si>
  <si>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</si>
  <si>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</si>
  <si>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</si>
  <si>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</si>
  <si>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</si>
  <si>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</si>
  <si>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</si>
  <si>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</si>
  <si>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</si>
  <si>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</si>
  <si>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</si>
  <si>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</si>
  <si>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</si>
  <si>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</si>
  <si>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</si>
  <si>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</si>
  <si>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</si>
  <si>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</si>
  <si>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</si>
  <si>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</si>
  <si>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</si>
  <si>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</si>
  <si>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</si>
  <si>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</si>
  <si>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</si>
  <si>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</si>
  <si>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</si>
  <si>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</si>
  <si>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</si>
  <si>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</si>
  <si>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</si>
  <si>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</si>
  <si>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</si>
  <si>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</si>
  <si>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</si>
  <si>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</si>
  <si>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</si>
  <si>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</si>
  <si>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</si>
  <si>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</si>
  <si>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</si>
  <si>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</si>
  <si>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</si>
  <si>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</si>
  <si>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</si>
  <si>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</si>
  <si>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</si>
  <si>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</si>
  <si>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</si>
  <si>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</si>
  <si>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</si>
  <si>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</si>
  <si>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</si>
  <si>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</si>
  <si>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</si>
  <si>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</si>
  <si>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</si>
  <si>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</si>
  <si>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</si>
  <si>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</si>
  <si>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</si>
  <si>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</si>
  <si>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</si>
  <si>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</si>
  <si>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</si>
  <si>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</si>
  <si>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</si>
  <si>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</si>
  <si>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</si>
  <si>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</si>
  <si>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</si>
  <si>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</si>
  <si>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</si>
  <si>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</si>
  <si>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</si>
  <si>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</si>
  <si>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</si>
  <si>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</si>
  <si>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</si>
  <si>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</si>
  <si>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</si>
  <si>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</si>
  <si>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</si>
  <si>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</si>
  <si>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</si>
  <si>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</si>
  <si>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</si>
  <si>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</si>
  <si>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</si>
  <si>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</si>
  <si>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</si>
  <si>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</si>
  <si>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</si>
  <si>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</si>
  <si>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</si>
  <si>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</si>
  <si>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</si>
  <si>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</si>
  <si>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</si>
  <si>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</si>
  <si>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</si>
  <si>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</si>
  <si>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</si>
  <si>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</si>
  <si>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</si>
  <si>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</si>
  <si>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</si>
  <si>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</si>
  <si>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</si>
  <si>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</si>
  <si>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</si>
  <si>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</si>
  <si>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</si>
  <si>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</si>
  <si>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</si>
  <si>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</si>
  <si>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</si>
  <si>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</si>
  <si>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</si>
  <si>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</si>
  <si>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</si>
  <si>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</si>
  <si>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</si>
  <si>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</si>
  <si>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</si>
  <si>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</si>
  <si>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</si>
  <si>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</si>
  <si>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</si>
  <si>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</si>
  <si>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</si>
  <si>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</si>
  <si>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</si>
  <si>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</si>
  <si>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</si>
  <si>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</si>
  <si>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</si>
  <si>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</si>
  <si>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</si>
  <si>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</si>
  <si>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</si>
  <si>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</si>
  <si>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</si>
  <si>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</si>
  <si>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</si>
  <si>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</si>
  <si>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</si>
  <si>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</si>
  <si>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</si>
  <si>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</si>
  <si>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</si>
  <si>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</si>
  <si>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</si>
  <si>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</si>
  <si>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</si>
  <si>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</si>
  <si>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</si>
  <si>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</si>
  <si>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</si>
  <si>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</si>
  <si>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</si>
  <si>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</si>
  <si>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</si>
  <si>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</si>
  <si>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</si>
  <si>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</si>
  <si>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</si>
  <si>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</si>
  <si>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</si>
  <si>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</si>
  <si>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</si>
  <si>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</si>
  <si>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</si>
  <si>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</si>
  <si>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</si>
  <si>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</si>
  <si>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</si>
  <si>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</si>
  <si>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</si>
  <si>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</si>
  <si>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</si>
  <si>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</si>
  <si>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</si>
  <si>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</si>
  <si>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</si>
  <si>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</si>
  <si>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</si>
  <si>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</si>
  <si>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</si>
  <si>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</si>
  <si>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</si>
  <si>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</si>
  <si>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</si>
  <si>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</si>
  <si>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</si>
  <si>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</si>
  <si>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</si>
  <si>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</si>
  <si>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</si>
  <si>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</si>
  <si>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</si>
  <si>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</si>
  <si>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</si>
  <si>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</si>
  <si>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</si>
  <si>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</si>
  <si>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</si>
  <si>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</si>
  <si>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</si>
  <si>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</si>
  <si>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</si>
  <si>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</si>
  <si>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</si>
  <si>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</si>
  <si>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</si>
  <si>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</si>
  <si>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</si>
  <si>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</si>
  <si>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</si>
  <si>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</si>
  <si>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</si>
  <si>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</si>
  <si>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</si>
  <si>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</si>
  <si>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</si>
  <si>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</si>
  <si>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</si>
  <si>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</si>
  <si>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</si>
  <si>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</si>
  <si>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</si>
  <si>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</si>
  <si>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</si>
  <si>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</si>
  <si>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</si>
  <si>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</si>
  <si>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</si>
  <si>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</si>
  <si>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</si>
  <si>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</si>
  <si>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</si>
  <si>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</si>
  <si>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</si>
  <si>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</si>
  <si>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</si>
  <si>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</si>
  <si>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</si>
  <si>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</si>
  <si>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</si>
  <si>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</si>
  <si>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</si>
  <si>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</si>
  <si>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</si>
  <si>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</si>
  <si>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</si>
  <si>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</si>
  <si>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</si>
  <si>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</si>
  <si>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</si>
  <si>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</si>
  <si>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</si>
  <si>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</si>
  <si>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</si>
  <si>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</si>
  <si>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</si>
  <si>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</si>
  <si>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</si>
  <si>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</si>
  <si>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</si>
  <si>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</si>
  <si>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</si>
  <si>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</si>
  <si>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</si>
  <si>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</si>
  <si>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</si>
  <si>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</si>
  <si>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</si>
  <si>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</si>
  <si>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</si>
  <si>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</si>
  <si>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</si>
  <si>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</si>
  <si>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</si>
  <si>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</si>
  <si>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</si>
  <si>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</si>
  <si>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</si>
  <si>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</si>
  <si>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</si>
  <si>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</si>
  <si>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</si>
  <si>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</si>
  <si>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</si>
  <si>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</si>
  <si>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</si>
  <si>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</si>
  <si>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</si>
  <si>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</si>
  <si>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</si>
  <si>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</si>
  <si>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</si>
  <si>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</si>
  <si>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</si>
  <si>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</si>
  <si>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</si>
  <si>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</si>
  <si>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</si>
  <si>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</si>
  <si>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</si>
  <si>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</si>
  <si>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</si>
  <si>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</si>
  <si>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</si>
  <si>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</si>
  <si>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</si>
  <si>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</si>
  <si>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</si>
  <si>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</si>
  <si>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</si>
  <si>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</si>
  <si>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</si>
  <si>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</si>
  <si>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</si>
  <si>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</si>
  <si>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</si>
  <si>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</si>
  <si>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</si>
  <si>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</si>
  <si>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</si>
  <si>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</si>
  <si>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</si>
  <si>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</si>
  <si>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</si>
  <si>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</si>
  <si>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</si>
  <si>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</si>
  <si>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</si>
  <si>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</si>
  <si>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</si>
  <si>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</si>
  <si>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</si>
  <si>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</si>
  <si>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</si>
  <si>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</si>
  <si>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</si>
  <si>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</si>
  <si>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</si>
  <si>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</si>
  <si>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</si>
  <si>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</si>
  <si>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</si>
  <si>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</si>
  <si>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</si>
  <si>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</si>
  <si>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</si>
  <si>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</si>
  <si>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</si>
  <si>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</si>
  <si>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</si>
  <si>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</si>
  <si>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</si>
  <si>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</si>
  <si>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</si>
  <si>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</si>
  <si>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</si>
  <si>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</si>
  <si>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</si>
  <si>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</si>
  <si>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</si>
  <si>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</si>
  <si>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</si>
  <si>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</si>
  <si>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</si>
  <si>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</si>
  <si>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</si>
  <si>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</si>
  <si>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</si>
  <si>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</si>
  <si>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</si>
  <si>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</si>
  <si>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</si>
  <si>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</si>
  <si>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</si>
  <si>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</si>
  <si>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</si>
  <si>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</si>
  <si>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</si>
  <si>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</si>
  <si>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</si>
  <si>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</si>
  <si>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</si>
  <si>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</si>
  <si>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</si>
  <si>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</si>
  <si>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</si>
  <si>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</si>
  <si>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</si>
  <si>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</si>
  <si>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</si>
  <si>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</si>
  <si>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</si>
  <si>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</si>
  <si>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</si>
  <si>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</si>
  <si>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</si>
  <si>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</si>
  <si>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</si>
  <si>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</si>
  <si>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</si>
  <si>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</si>
  <si>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</si>
  <si>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</si>
  <si>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</si>
  <si>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</si>
  <si>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</si>
  <si>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</si>
  <si>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</si>
  <si>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</si>
  <si>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</si>
  <si>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</si>
  <si>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</si>
  <si>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</si>
  <si>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</si>
  <si>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</si>
  <si>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</si>
  <si>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</si>
  <si>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</si>
  <si>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</si>
  <si>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</si>
  <si>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</si>
  <si>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</si>
  <si>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</si>
  <si>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</si>
  <si>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</si>
  <si>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</si>
  <si>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</si>
  <si>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</si>
  <si>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</si>
  <si>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</si>
  <si>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</si>
  <si>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</si>
  <si>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</si>
  <si>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</si>
  <si>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</si>
  <si>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</si>
  <si>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</si>
  <si>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</si>
  <si>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</si>
  <si>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</si>
  <si>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</si>
  <si>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</si>
  <si>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</si>
  <si>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</si>
  <si>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</si>
  <si>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</si>
  <si>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</si>
  <si>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</si>
  <si>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</si>
  <si>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</si>
  <si>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</si>
  <si>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</si>
  <si>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</si>
  <si>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</si>
  <si>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</si>
  <si>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</si>
  <si>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</si>
  <si>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</si>
  <si>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</si>
  <si>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</si>
  <si>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</si>
  <si>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</si>
  <si>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</si>
  <si>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</si>
  <si>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</si>
  <si>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</si>
  <si>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</si>
  <si>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</si>
  <si>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</si>
  <si>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</si>
  <si>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</si>
  <si>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</si>
  <si>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</si>
  <si>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</si>
  <si>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</si>
  <si>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</si>
  <si>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</si>
  <si>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</si>
  <si>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</si>
  <si>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</si>
  <si>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</si>
  <si>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</si>
  <si>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</si>
  <si>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</si>
  <si>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</si>
  <si>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</si>
  <si>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</si>
  <si>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</si>
  <si>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</si>
  <si>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</si>
  <si>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</si>
  <si>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</si>
  <si>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</si>
  <si>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</si>
  <si>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</si>
  <si>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</si>
  <si>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</si>
  <si>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</si>
  <si>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</si>
  <si>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</si>
  <si>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</si>
  <si>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</si>
  <si>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</si>
  <si>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</si>
  <si>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</si>
  <si>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</si>
  <si>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</si>
  <si>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</si>
  <si>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</si>
  <si>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</si>
  <si>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</si>
  <si>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</si>
  <si>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</si>
  <si>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</si>
  <si>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</si>
  <si>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</si>
  <si>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</si>
  <si>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</si>
  <si>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</si>
  <si>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</si>
  <si>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</si>
  <si>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</si>
  <si>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</si>
  <si>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</si>
  <si>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</si>
  <si>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</si>
  <si>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</si>
  <si>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</si>
  <si>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</si>
  <si>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</si>
  <si>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</si>
  <si>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</si>
  <si>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</si>
  <si>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</si>
  <si>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</si>
  <si>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</si>
  <si>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</si>
  <si>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</si>
  <si>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</si>
  <si>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</si>
  <si>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</si>
  <si>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</si>
  <si>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</si>
  <si>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</si>
  <si>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</si>
  <si>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</si>
  <si>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</si>
  <si>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</si>
  <si>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</si>
  <si>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</si>
  <si>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</si>
  <si>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</si>
  <si>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</si>
  <si>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</si>
  <si>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</si>
  <si>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</si>
  <si>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</si>
  <si>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</si>
  <si>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</si>
  <si>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</si>
  <si>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</si>
  <si>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</si>
  <si>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</si>
  <si>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</si>
  <si>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</si>
  <si>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</si>
  <si>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</si>
  <si>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</si>
  <si>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</si>
  <si>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</si>
  <si>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</si>
  <si>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</si>
  <si>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</si>
  <si>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</si>
  <si>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</si>
  <si>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</si>
  <si>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</si>
  <si>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</si>
  <si>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</si>
  <si>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</si>
  <si>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</si>
  <si>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</si>
  <si>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</si>
  <si>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</si>
  <si>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</si>
  <si>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</si>
  <si>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</si>
  <si>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</si>
  <si>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</si>
  <si>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</si>
  <si>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</si>
  <si>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</si>
  <si>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</si>
  <si>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</si>
  <si>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</si>
  <si>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</si>
  <si>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</si>
  <si>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</si>
  <si>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</si>
  <si>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</si>
  <si>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</si>
  <si>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</si>
  <si>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</si>
  <si>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</si>
  <si>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</si>
  <si>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</si>
  <si>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</si>
  <si>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</si>
  <si>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</si>
  <si>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</si>
  <si>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</si>
  <si>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</si>
  <si>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</si>
  <si>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</si>
  <si>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</si>
  <si>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</si>
  <si>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</si>
  <si>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</si>
  <si>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</si>
  <si>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</si>
  <si>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</si>
  <si>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</si>
  <si>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</si>
  <si>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</si>
  <si>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</si>
  <si>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</si>
  <si>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</si>
  <si>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</si>
  <si>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</si>
  <si>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</si>
  <si>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</si>
  <si>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</si>
  <si>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</si>
  <si>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</si>
  <si>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</si>
  <si>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</si>
  <si>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</si>
  <si>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</si>
  <si>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</si>
  <si>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</si>
  <si>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</si>
  <si>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</si>
  <si>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</si>
  <si>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</si>
  <si>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</si>
  <si>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</si>
  <si>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</si>
  <si>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</si>
  <si>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</si>
  <si>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</si>
  <si>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</si>
  <si>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</si>
  <si>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</si>
  <si>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</si>
  <si>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</si>
  <si>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</si>
  <si>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</si>
  <si>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</si>
  <si>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</si>
  <si>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</si>
  <si>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</si>
  <si>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</si>
  <si>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</si>
  <si>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</si>
  <si>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</si>
  <si>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</si>
  <si>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</si>
  <si>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</si>
  <si>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</si>
  <si>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</si>
  <si>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</si>
  <si>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</si>
  <si>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</si>
  <si>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</si>
  <si>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</si>
  <si>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</si>
  <si>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</si>
  <si>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</si>
  <si>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</si>
  <si>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</si>
  <si>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</si>
  <si>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</si>
  <si>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</si>
  <si>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</si>
  <si>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</si>
  <si>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</si>
  <si>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</si>
  <si>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</si>
  <si>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</si>
  <si>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</si>
  <si>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</si>
  <si>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</si>
  <si>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</si>
  <si>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</si>
  <si>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</si>
  <si>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</si>
  <si>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</si>
  <si>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</si>
  <si>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</si>
  <si>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</si>
  <si>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</si>
  <si>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</si>
  <si>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</si>
  <si>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</si>
  <si>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</si>
  <si>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</si>
  <si>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</si>
  <si>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</si>
  <si>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</si>
  <si>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</si>
  <si>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</si>
  <si>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</si>
  <si>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</si>
  <si>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</si>
  <si>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</si>
  <si>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</si>
  <si>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</si>
  <si>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</si>
  <si>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</si>
  <si>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</si>
  <si>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</si>
  <si>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</si>
  <si>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</si>
  <si>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</si>
  <si>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</si>
  <si>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</si>
  <si>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</si>
  <si>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</si>
  <si>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</si>
  <si>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</si>
  <si>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</si>
  <si>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</si>
  <si>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</si>
  <si>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</si>
  <si>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</si>
  <si>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</si>
  <si>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</si>
  <si>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</si>
  <si>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</si>
  <si>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</si>
  <si>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</si>
  <si>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</si>
  <si>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</si>
  <si>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</si>
  <si>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</si>
  <si>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</si>
  <si>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</si>
  <si>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</si>
  <si>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</si>
  <si>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</si>
  <si>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</si>
  <si>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</si>
  <si>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</si>
  <si>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</si>
  <si>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</si>
  <si>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</si>
  <si>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</si>
  <si>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</si>
  <si>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</si>
  <si>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</si>
  <si>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</si>
  <si>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</si>
  <si>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</si>
  <si>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</si>
  <si>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</si>
  <si>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</si>
  <si>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</si>
  <si>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</si>
  <si>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</si>
  <si>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</si>
  <si>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</si>
  <si>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</si>
  <si>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</si>
  <si>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</si>
  <si>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</si>
  <si>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</si>
  <si>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</si>
  <si>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</si>
  <si>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</si>
  <si>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</si>
  <si>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</si>
  <si>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</si>
  <si>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</si>
  <si>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</si>
  <si>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</si>
  <si>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</si>
  <si>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</si>
  <si>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</si>
  <si>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</si>
  <si>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</si>
  <si>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</si>
  <si>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</si>
  <si>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</si>
  <si>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</si>
  <si>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</si>
  <si>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</si>
  <si>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</si>
  <si>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</si>
  <si>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</si>
  <si>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</si>
  <si>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</si>
  <si>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</si>
  <si>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</si>
  <si>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</si>
  <si>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</si>
  <si>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</si>
  <si>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</si>
  <si>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</si>
  <si>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</si>
  <si>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</si>
  <si>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</si>
  <si>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</si>
  <si>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</si>
  <si>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</si>
  <si>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</si>
  <si>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</si>
  <si>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</si>
  <si>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</si>
  <si>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</si>
  <si>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</si>
  <si>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</si>
  <si>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</si>
  <si>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</si>
  <si>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</si>
  <si>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</si>
  <si>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</si>
  <si>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</si>
  <si>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</si>
  <si>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</si>
  <si>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</si>
  <si>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</si>
  <si>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</si>
  <si>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</si>
  <si>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</si>
  <si>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</si>
  <si>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</si>
  <si>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</si>
  <si>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</si>
  <si>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</si>
  <si>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</si>
  <si>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</si>
  <si>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</si>
  <si>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</si>
  <si>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</si>
  <si>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</si>
  <si>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</si>
  <si>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</si>
  <si>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</si>
  <si>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</si>
  <si>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</si>
  <si>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</si>
  <si>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</si>
  <si>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</si>
  <si>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</si>
  <si>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</si>
  <si>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</si>
  <si>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</si>
  <si>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</si>
  <si>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</si>
  <si>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</si>
  <si>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</si>
  <si>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</si>
  <si>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</si>
  <si>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</si>
  <si>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</si>
  <si>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</si>
  <si>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</si>
  <si>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</si>
  <si>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</si>
  <si>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</si>
  <si>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</si>
  <si>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</si>
  <si>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</si>
  <si>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</si>
  <si>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</si>
  <si>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</si>
  <si>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</si>
  <si>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</si>
  <si>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</si>
  <si>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</si>
  <si>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</si>
  <si>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</si>
  <si>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</si>
  <si>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</si>
  <si>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</si>
  <si>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</si>
  <si>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</si>
  <si>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</si>
  <si>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</si>
  <si>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</si>
  <si>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</si>
  <si>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</si>
  <si>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</si>
  <si>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</si>
  <si>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</si>
  <si>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</si>
  <si>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</si>
  <si>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</si>
  <si>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</si>
  <si>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</si>
  <si>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</si>
  <si>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</si>
  <si>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</si>
  <si>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</si>
  <si>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</si>
  <si>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</si>
  <si>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</si>
  <si>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</si>
  <si>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</si>
  <si>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</si>
  <si>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</si>
  <si>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</si>
  <si>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</si>
  <si>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</si>
  <si>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</si>
  <si>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</si>
  <si>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</si>
  <si>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</si>
  <si>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</si>
  <si>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</si>
  <si>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</si>
  <si>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</si>
  <si>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</si>
  <si>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</si>
  <si>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</si>
  <si>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</si>
  <si>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</si>
  <si>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</si>
  <si>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</si>
  <si>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</si>
  <si>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</si>
  <si>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</si>
  <si>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</si>
  <si>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</si>
  <si>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</si>
  <si>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</si>
  <si>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</si>
  <si>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</si>
  <si>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</si>
  <si>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</si>
  <si>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</si>
  <si>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</si>
  <si>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</si>
  <si>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</si>
  <si>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</si>
  <si>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</si>
  <si>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</si>
  <si>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</si>
  <si>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</si>
  <si>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</si>
  <si>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</si>
  <si>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</si>
  <si>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</si>
  <si>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</si>
  <si>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</si>
  <si>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</si>
  <si>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</si>
  <si>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</si>
  <si>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</si>
  <si>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</si>
  <si>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</si>
  <si>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</si>
  <si>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</si>
  <si>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</si>
  <si>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</si>
  <si>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</si>
  <si>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</si>
  <si>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</si>
  <si>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</si>
  <si>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</si>
  <si>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</si>
  <si>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</si>
  <si>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</si>
  <si>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</si>
  <si>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</si>
  <si>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</si>
  <si>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</si>
  <si>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</si>
  <si>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</si>
  <si>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</si>
  <si>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</si>
  <si>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</si>
  <si>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</si>
  <si>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</si>
  <si>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</si>
  <si>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</si>
  <si>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</si>
  <si>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</si>
  <si>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</si>
  <si>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</si>
  <si>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</si>
  <si>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</si>
  <si>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</si>
  <si>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</si>
  <si>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</si>
  <si>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</si>
  <si>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</si>
  <si>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</si>
  <si>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</si>
  <si>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</si>
  <si>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</si>
  <si>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</si>
  <si>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</si>
  <si>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</si>
  <si>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</si>
  <si>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</si>
  <si>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</si>
  <si>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</si>
  <si>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</si>
  <si>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</si>
  <si>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</si>
  <si>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</si>
  <si>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</si>
  <si>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</si>
  <si>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</si>
  <si>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</si>
  <si>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</si>
  <si>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</si>
  <si>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</si>
  <si>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</si>
  <si>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</si>
  <si>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</si>
  <si>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</si>
  <si>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</si>
  <si>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</si>
  <si>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</si>
  <si>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</si>
  <si>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</si>
  <si>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</si>
  <si>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</si>
  <si>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</si>
  <si>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</si>
  <si>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</si>
  <si>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</si>
  <si>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</si>
  <si>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</si>
  <si>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</si>
  <si>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</si>
  <si>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</si>
  <si>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</si>
  <si>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</si>
  <si>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</si>
  <si>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</si>
  <si>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</si>
  <si>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</si>
  <si>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</si>
  <si>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</si>
  <si>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</si>
  <si>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</si>
  <si>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</si>
  <si>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</si>
  <si>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</si>
  <si>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</si>
  <si>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</si>
  <si>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</si>
  <si>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</si>
  <si>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</si>
  <si>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</si>
  <si>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</si>
  <si>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</si>
  <si>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</si>
  <si>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</si>
  <si>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</si>
  <si>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</si>
  <si>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</si>
  <si>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</si>
  <si>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</si>
  <si>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</si>
  <si>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</si>
  <si>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</si>
  <si>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</si>
  <si>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</si>
  <si>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</si>
  <si>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</si>
  <si>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</si>
  <si>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</si>
  <si>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</si>
  <si>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</si>
  <si>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</si>
  <si>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</si>
  <si>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</si>
  <si>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</si>
  <si>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</si>
  <si>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</si>
  <si>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</si>
  <si>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</si>
  <si>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</si>
  <si>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</si>
  <si>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</si>
  <si>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</si>
  <si>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</si>
  <si>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</si>
  <si>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</si>
  <si>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</si>
  <si>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</si>
  <si>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</si>
  <si>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</si>
  <si>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</si>
  <si>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</si>
  <si>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</si>
  <si>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</si>
  <si>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</si>
  <si>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</si>
  <si>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</si>
  <si>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</si>
  <si>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</si>
  <si>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</si>
  <si>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</si>
  <si>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</si>
  <si>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</si>
  <si>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</si>
  <si>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</si>
  <si>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</si>
  <si>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</si>
  <si>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</si>
  <si>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</si>
  <si>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</si>
  <si>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</si>
  <si>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</si>
  <si>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</si>
  <si>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</si>
  <si>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</si>
  <si>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</si>
  <si>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</si>
  <si>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</si>
  <si>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</si>
  <si>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</si>
  <si>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</si>
  <si>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</si>
  <si>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</si>
  <si>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</si>
  <si>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</si>
  <si>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</si>
  <si>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</si>
  <si>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</si>
  <si>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</si>
  <si>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</si>
  <si>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</si>
  <si>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</si>
  <si>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</si>
  <si>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</si>
  <si>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</si>
  <si>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</si>
  <si>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</si>
  <si>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</si>
  <si>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</si>
  <si>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</si>
  <si>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</si>
  <si>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</si>
  <si>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</si>
  <si>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</si>
  <si>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</si>
  <si>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</si>
  <si>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</si>
  <si>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</si>
  <si>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</si>
  <si>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</si>
  <si>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</si>
  <si>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</si>
  <si>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</si>
  <si>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</si>
  <si>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</si>
  <si>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</si>
  <si>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</si>
  <si>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</si>
  <si>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</si>
  <si>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</si>
  <si>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</si>
  <si>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</si>
  <si>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</si>
  <si>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</si>
  <si>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</si>
  <si>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</si>
  <si>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</si>
  <si>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</si>
  <si>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</si>
  <si>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</si>
  <si>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</si>
  <si>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</si>
  <si>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</si>
  <si>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</si>
  <si>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</si>
  <si>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</si>
  <si>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</si>
  <si>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</si>
  <si>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</si>
  <si>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</si>
  <si>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</si>
  <si>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</si>
  <si>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</si>
  <si>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</si>
  <si>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</si>
  <si>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</si>
  <si>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</si>
  <si>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</si>
  <si>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</si>
  <si>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</si>
  <si>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</si>
  <si>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</si>
  <si>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</si>
  <si>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</si>
  <si>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</si>
  <si>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</si>
  <si>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</si>
  <si>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</si>
  <si>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</si>
  <si>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</si>
  <si>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</si>
  <si>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</si>
  <si>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</si>
  <si>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</si>
  <si>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</si>
  <si>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</si>
  <si>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</si>
  <si>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</si>
  <si>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</si>
  <si>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</si>
  <si>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</si>
  <si>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</si>
  <si>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</si>
  <si>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</si>
  <si>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</si>
  <si>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</si>
  <si>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</si>
  <si>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</si>
  <si>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</si>
  <si>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</si>
  <si>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</si>
  <si>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</si>
  <si>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</si>
  <si>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</si>
  <si>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</si>
  <si>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</si>
  <si>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</si>
  <si>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</si>
  <si>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</si>
  <si>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</si>
  <si>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</si>
  <si>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</si>
  <si>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</si>
  <si>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</si>
  <si>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</si>
  <si>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</si>
  <si>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</si>
  <si>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</si>
  <si>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</si>
  <si>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</si>
  <si>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</si>
  <si>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</si>
  <si>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</si>
  <si>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</si>
  <si>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</si>
  <si>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</si>
  <si>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</si>
  <si>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</si>
  <si>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</si>
  <si>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</si>
  <si>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</si>
  <si>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</si>
  <si>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</si>
  <si>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</si>
  <si>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</si>
  <si>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</si>
  <si>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</si>
  <si>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</si>
  <si>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</si>
  <si>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</si>
  <si>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</si>
  <si>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</si>
  <si>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</si>
  <si>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</si>
  <si>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</si>
  <si>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</si>
  <si>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</si>
  <si>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</si>
  <si>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</si>
  <si>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</si>
  <si>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</si>
  <si>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</si>
  <si>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</si>
  <si>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</si>
  <si>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</si>
  <si>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</si>
  <si>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</si>
  <si>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</si>
  <si>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</si>
  <si>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</si>
  <si>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</si>
  <si>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</si>
  <si>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</si>
  <si>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</si>
  <si>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</si>
  <si>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</si>
  <si>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</si>
  <si>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</si>
  <si>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</si>
  <si>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</si>
  <si>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</si>
  <si>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</si>
  <si>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</si>
  <si>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</si>
  <si>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</si>
  <si>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</si>
  <si>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</si>
  <si>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</si>
  <si>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</si>
  <si>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</si>
  <si>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</si>
  <si>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</si>
  <si>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</si>
  <si>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</si>
  <si>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</si>
  <si>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</si>
  <si>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</si>
  <si>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</si>
  <si>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</si>
  <si>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</si>
  <si>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</si>
  <si>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</si>
  <si>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</si>
  <si>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</si>
  <si>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</si>
  <si>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</si>
  <si>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</si>
  <si>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</si>
  <si>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</si>
  <si>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</si>
  <si>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</si>
  <si>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</si>
  <si>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</si>
  <si>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</si>
  <si>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</si>
  <si>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</si>
  <si>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</si>
  <si>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</si>
  <si>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</si>
  <si>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</si>
  <si>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</si>
  <si>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</si>
  <si>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</si>
  <si>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</si>
  <si>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</si>
  <si>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</si>
  <si>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</si>
  <si>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</si>
  <si>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</si>
  <si>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</si>
  <si>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</si>
  <si>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</si>
  <si>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</si>
  <si>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</si>
  <si>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</si>
  <si>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</si>
  <si>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</si>
  <si>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</si>
  <si>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</si>
  <si>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</si>
  <si>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</si>
  <si>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</si>
  <si>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</si>
  <si>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</si>
  <si>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</si>
  <si>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</si>
  <si>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</si>
  <si>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</si>
  <si>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</si>
  <si>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</si>
  <si>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</si>
  <si>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</si>
  <si>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</si>
  <si>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</si>
  <si>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</si>
  <si>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</si>
  <si>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</si>
  <si>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</si>
  <si>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</si>
  <si>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</si>
  <si>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</si>
  <si>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</si>
  <si>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</si>
  <si>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</si>
  <si>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</si>
  <si>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</si>
  <si>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</si>
  <si>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</si>
  <si>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</si>
  <si>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</si>
  <si>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</si>
  <si>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</si>
  <si>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</si>
  <si>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</si>
  <si>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</si>
  <si>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</si>
  <si>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</si>
  <si>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</si>
  <si>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</si>
  <si>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</si>
  <si>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</si>
  <si>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</si>
  <si>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</si>
  <si>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</si>
  <si>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</si>
  <si>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</si>
  <si>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</si>
  <si>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</si>
  <si>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</si>
  <si>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</si>
  <si>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</si>
  <si>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</si>
  <si>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</si>
  <si>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</si>
  <si>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</si>
  <si>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</si>
  <si>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</si>
  <si>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</si>
  <si>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</si>
  <si>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</si>
  <si>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</si>
  <si>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</si>
  <si>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</si>
  <si>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</si>
  <si>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</si>
  <si>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</si>
  <si>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</si>
  <si>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</si>
  <si>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</si>
  <si>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</si>
  <si>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</si>
  <si>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</si>
  <si>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</si>
  <si>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</si>
  <si>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</si>
  <si>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</si>
  <si>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</si>
  <si>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</si>
  <si>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</si>
  <si>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</si>
  <si>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</si>
  <si>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</si>
  <si>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</si>
  <si>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</si>
  <si>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</si>
  <si>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</si>
  <si>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</si>
  <si>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</si>
  <si>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</si>
  <si>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</si>
  <si>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</si>
  <si>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</si>
  <si>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</si>
  <si>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</si>
  <si>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</si>
  <si>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</si>
  <si>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</si>
  <si>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</si>
  <si>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</si>
  <si>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</si>
  <si>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</si>
  <si>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</si>
  <si>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</si>
  <si>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</si>
  <si>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</si>
  <si>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</si>
  <si>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</si>
  <si>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</si>
  <si>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</si>
  <si>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</si>
  <si>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</si>
  <si>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</si>
  <si>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</si>
  <si>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</si>
  <si>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</si>
  <si>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</si>
  <si>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</si>
  <si>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</si>
  <si>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</si>
  <si>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</si>
  <si>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</si>
  <si>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</si>
  <si>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</si>
  <si>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</si>
  <si>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</si>
  <si>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</si>
  <si>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</si>
  <si>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</si>
  <si>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</si>
  <si>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</si>
  <si>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</si>
  <si>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</si>
  <si>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</si>
  <si>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</si>
  <si>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</si>
  <si>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</si>
  <si>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</si>
  <si>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</si>
  <si>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</si>
  <si>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</si>
  <si>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</si>
  <si>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</si>
  <si>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</si>
  <si>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</si>
  <si>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</si>
  <si>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</si>
  <si>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</si>
  <si>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</si>
  <si>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</si>
  <si>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</si>
  <si>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</si>
  <si>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</si>
  <si>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</si>
  <si>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</si>
  <si>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</si>
  <si>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</si>
  <si>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</si>
  <si>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</si>
  <si>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</si>
  <si>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</si>
  <si>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</si>
  <si>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</si>
  <si>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</si>
  <si>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</si>
  <si>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</si>
  <si>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</si>
  <si>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</si>
  <si>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</si>
  <si>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</si>
  <si>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</si>
  <si>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</si>
  <si>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</si>
  <si>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</si>
  <si>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</si>
  <si>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</si>
  <si>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</si>
  <si>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</si>
  <si>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</si>
  <si>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</si>
  <si>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</si>
  <si>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</si>
  <si>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</si>
  <si>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</si>
  <si>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</si>
  <si>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</si>
  <si>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</si>
  <si>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</si>
  <si>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</si>
  <si>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</si>
  <si>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</si>
  <si>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</si>
  <si>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</si>
  <si>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</si>
  <si>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</si>
  <si>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</si>
  <si>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</si>
  <si>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</si>
  <si>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</si>
  <si>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</si>
  <si>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</si>
  <si>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</si>
  <si>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</si>
  <si>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</si>
  <si>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</si>
  <si>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</si>
  <si>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</si>
  <si>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</si>
  <si>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</si>
  <si>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</si>
  <si>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</si>
  <si>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</si>
  <si>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</si>
  <si>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</si>
  <si>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</si>
  <si>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</si>
  <si>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</si>
  <si>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</si>
  <si>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</si>
  <si>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</si>
  <si>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</si>
  <si>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</si>
  <si>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</si>
  <si>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</si>
  <si>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</si>
  <si>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</si>
  <si>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</si>
  <si>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</si>
  <si>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</si>
  <si>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</si>
  <si>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</si>
  <si>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</si>
  <si>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</si>
  <si>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</si>
  <si>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</si>
  <si>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</si>
  <si>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</si>
  <si>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</si>
  <si>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</si>
  <si>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</si>
  <si>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</si>
  <si>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</si>
  <si>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</si>
  <si>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</si>
  <si>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</si>
  <si>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</si>
  <si>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</si>
  <si>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</si>
  <si>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</si>
  <si>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</si>
  <si>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</si>
  <si>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</si>
  <si>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</si>
  <si>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</si>
  <si>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</si>
  <si>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</si>
  <si>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</si>
  <si>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</si>
  <si>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</si>
  <si>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</si>
  <si>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</si>
  <si>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</si>
  <si>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</si>
  <si>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</si>
  <si>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</si>
  <si>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</si>
  <si>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</si>
  <si>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</si>
  <si>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</si>
  <si>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</si>
  <si>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</si>
  <si>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</si>
  <si>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</si>
  <si>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</si>
  <si>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</si>
  <si>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</si>
  <si>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</si>
  <si>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</si>
  <si>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</si>
  <si>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</si>
  <si>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</si>
  <si>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</si>
  <si>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</si>
  <si>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</si>
  <si>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</si>
  <si>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</si>
  <si>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</si>
  <si>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</si>
  <si>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</si>
  <si>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</si>
  <si>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</si>
  <si>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</si>
  <si>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</si>
  <si>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</si>
  <si>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</si>
  <si>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</si>
  <si>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</si>
  <si>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</si>
  <si>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</si>
  <si>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</si>
  <si>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</si>
  <si>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</si>
  <si>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</si>
  <si>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</si>
  <si>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</si>
  <si>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</si>
  <si>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</si>
  <si>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</si>
  <si>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</si>
  <si>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</si>
  <si>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</si>
  <si>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</si>
  <si>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</si>
  <si>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</si>
  <si>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</si>
  <si>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</si>
  <si>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</si>
  <si>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</si>
  <si>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</si>
  <si>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</si>
  <si>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</si>
  <si>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</si>
  <si>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</si>
  <si>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</si>
  <si>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</si>
  <si>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</si>
  <si>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</si>
  <si>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</si>
  <si>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</si>
  <si>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</si>
  <si>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</si>
  <si>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</si>
  <si>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</si>
  <si>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</si>
  <si>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</si>
  <si>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</si>
  <si>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</si>
  <si>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</si>
  <si>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</si>
  <si>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</si>
  <si>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</si>
  <si>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</si>
  <si>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</si>
  <si>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</si>
  <si>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</si>
  <si>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</si>
  <si>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</si>
  <si>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</si>
  <si>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</si>
  <si>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</si>
  <si>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</si>
  <si>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</si>
  <si>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</si>
  <si>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</si>
  <si>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</si>
  <si>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</si>
  <si>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</si>
  <si>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</si>
  <si>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</si>
  <si>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</si>
  <si>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</si>
  <si>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</si>
  <si>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</si>
  <si>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</si>
  <si>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</si>
  <si>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</si>
  <si>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</si>
  <si>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</si>
  <si>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</si>
  <si>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</si>
  <si>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</si>
  <si>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</si>
  <si>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</si>
  <si>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</si>
  <si>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</si>
  <si>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</si>
  <si>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</si>
  <si>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</si>
  <si>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</si>
  <si>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</si>
  <si>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</si>
  <si>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</si>
  <si>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</si>
  <si>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</si>
  <si>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</si>
  <si>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</si>
  <si>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</si>
  <si>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</si>
  <si>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</si>
  <si>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</si>
  <si>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</si>
  <si>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</si>
  <si>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</si>
  <si>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</si>
  <si>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</si>
  <si>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</si>
  <si>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</si>
  <si>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</si>
  <si>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</si>
  <si>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</si>
  <si>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</si>
  <si>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</si>
  <si>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</si>
  <si>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</si>
  <si>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</si>
  <si>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</si>
  <si>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</si>
  <si>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</si>
  <si>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</si>
  <si>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</si>
  <si>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</si>
  <si>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</si>
  <si>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</si>
  <si>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</si>
  <si>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</si>
  <si>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</si>
  <si>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</si>
  <si>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</si>
  <si>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</si>
  <si>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</si>
  <si>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</si>
  <si>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</si>
  <si>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</si>
  <si>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</si>
  <si>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</si>
  <si>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</si>
  <si>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</si>
  <si>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</si>
  <si>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</si>
  <si>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</si>
  <si>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</si>
  <si>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</si>
  <si>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</si>
  <si>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</si>
  <si>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</si>
  <si>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</si>
  <si>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</si>
  <si>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</si>
  <si>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</si>
  <si>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</si>
  <si>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</si>
  <si>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</si>
  <si>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</si>
  <si>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</si>
  <si>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</si>
  <si>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</si>
  <si>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</si>
  <si>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</si>
  <si>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</si>
  <si>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</si>
  <si>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</si>
  <si>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</si>
  <si>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</si>
  <si>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</si>
  <si>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</si>
  <si>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</si>
  <si>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</si>
  <si>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</si>
  <si>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</si>
  <si>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</si>
  <si>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</si>
  <si>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</si>
  <si>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</si>
  <si>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</si>
  <si>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</si>
  <si>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</si>
  <si>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</si>
  <si>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</si>
  <si>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</si>
  <si>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</si>
  <si>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</si>
  <si>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</si>
  <si>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</si>
  <si>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</si>
  <si>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</si>
  <si>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</si>
  <si>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</si>
  <si>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</si>
  <si>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</si>
  <si>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</si>
  <si>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</si>
  <si>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</si>
  <si>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</si>
  <si>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</si>
  <si>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</si>
  <si>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</si>
  <si>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</si>
  <si>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</si>
  <si>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</si>
  <si>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</si>
  <si>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</si>
  <si>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</si>
  <si>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</si>
  <si>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</si>
  <si>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</si>
  <si>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</si>
  <si>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</si>
  <si>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</si>
  <si>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</si>
  <si>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</si>
  <si>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</si>
  <si>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</si>
  <si>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</si>
  <si>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</si>
  <si>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</si>
  <si>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</si>
  <si>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</si>
  <si>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</si>
  <si>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</si>
  <si>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</si>
  <si>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</si>
  <si>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</si>
  <si>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</si>
  <si>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</si>
  <si>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</si>
  <si>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</si>
  <si>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</si>
  <si>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</si>
  <si>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</si>
  <si>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</si>
  <si>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</si>
  <si>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</si>
  <si>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</si>
  <si>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</si>
  <si>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</si>
  <si>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</si>
  <si>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</si>
  <si>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</si>
  <si>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</si>
  <si>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</si>
  <si>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</si>
  <si>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</si>
  <si>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</si>
  <si>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</si>
  <si>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</si>
  <si>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</si>
  <si>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</si>
  <si>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</si>
  <si>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</si>
  <si>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</si>
  <si>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</si>
  <si>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</si>
  <si>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</si>
  <si>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</si>
  <si>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</si>
  <si>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</si>
  <si>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</si>
  <si>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</si>
  <si>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</si>
  <si>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</si>
  <si>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</si>
  <si>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</si>
  <si>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</si>
  <si>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</si>
  <si>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</si>
  <si>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</si>
  <si>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</si>
  <si>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</si>
  <si>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</si>
  <si>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</si>
  <si>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</si>
  <si>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</si>
  <si>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</si>
  <si>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</si>
  <si>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</si>
  <si>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</si>
  <si>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</si>
  <si>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</si>
  <si>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</si>
  <si>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</si>
  <si>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</si>
  <si>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</si>
  <si>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</si>
  <si>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</si>
  <si>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</si>
  <si>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</si>
  <si>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</si>
  <si>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</si>
  <si>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</si>
  <si>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</si>
  <si>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</si>
  <si>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</si>
  <si>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</si>
  <si>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</si>
  <si>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</si>
  <si>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</si>
  <si>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</si>
  <si>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</si>
  <si>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</si>
  <si>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</si>
  <si>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</si>
  <si>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</si>
  <si>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</si>
  <si>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</si>
  <si>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</si>
  <si>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</si>
  <si>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</si>
  <si>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</si>
  <si>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</si>
  <si>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</si>
  <si>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</si>
  <si>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</si>
  <si>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</si>
  <si>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</si>
  <si>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</si>
  <si>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</si>
  <si>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</si>
  <si>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</si>
  <si>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</si>
  <si>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</si>
  <si>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</si>
  <si>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</si>
  <si>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</si>
  <si>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</si>
  <si>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</si>
  <si>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</si>
  <si>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</si>
  <si>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</si>
  <si>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</si>
  <si>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</si>
  <si>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</si>
  <si>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</si>
  <si>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</si>
  <si>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</si>
  <si>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</si>
  <si>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</si>
  <si>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</si>
  <si>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</si>
  <si>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</si>
  <si>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</si>
  <si>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</si>
  <si>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</si>
  <si>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</si>
  <si>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</si>
  <si>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</si>
  <si>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</si>
  <si>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</si>
  <si>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</si>
  <si>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</si>
  <si>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</si>
  <si>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</si>
  <si>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</si>
  <si>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</si>
  <si>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</si>
  <si>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</si>
  <si>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</si>
  <si>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</si>
  <si>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</si>
  <si>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</si>
  <si>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</si>
  <si>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</si>
  <si>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</si>
  <si>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</si>
  <si>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</si>
  <si>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</si>
  <si>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</si>
  <si>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</si>
  <si>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</si>
  <si>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</si>
  <si>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</si>
  <si>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</si>
  <si>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</si>
  <si>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</si>
  <si>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</si>
  <si>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</si>
  <si>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</si>
  <si>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</si>
  <si>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</si>
  <si>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</si>
  <si>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</si>
  <si>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</si>
  <si>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</si>
  <si>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</si>
  <si>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</si>
  <si>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</si>
  <si>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</si>
  <si>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</si>
  <si>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</si>
  <si>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</si>
  <si>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</si>
  <si>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</si>
  <si>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</si>
  <si>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</si>
  <si>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</si>
  <si>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</si>
  <si>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</si>
  <si>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</si>
  <si>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</si>
  <si>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</si>
  <si>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</si>
  <si>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</si>
  <si>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</si>
  <si>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</si>
  <si>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</si>
  <si>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</si>
  <si>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</si>
  <si>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</si>
  <si>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</si>
  <si>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</si>
  <si>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</si>
  <si>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</si>
  <si>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</si>
  <si>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</si>
  <si>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</si>
  <si>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</si>
  <si>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</si>
  <si>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</si>
  <si>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</si>
  <si>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</si>
  <si>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</si>
  <si>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</si>
  <si>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</si>
  <si>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</si>
  <si>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</si>
  <si>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</si>
  <si>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</si>
  <si>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</si>
  <si>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</si>
  <si>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</si>
  <si>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</si>
  <si>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</si>
  <si>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</si>
  <si>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</si>
  <si>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</si>
  <si>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</si>
  <si>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</si>
  <si>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</si>
  <si>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</si>
  <si>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</si>
  <si>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</si>
  <si>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</si>
  <si>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</si>
  <si>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</si>
  <si>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</si>
  <si>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</si>
  <si>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</si>
  <si>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</si>
  <si>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</si>
  <si>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</si>
  <si>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</si>
  <si>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</si>
  <si>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</si>
  <si>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</si>
  <si>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</si>
  <si>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</si>
  <si>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</si>
  <si>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</si>
  <si>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</si>
  <si>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</si>
  <si>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</si>
  <si>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</si>
  <si>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</si>
  <si>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</si>
  <si>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</si>
  <si>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</si>
  <si>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</si>
  <si>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</si>
  <si>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</si>
  <si>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</si>
  <si>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</si>
  <si>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</si>
  <si>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</si>
  <si>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</si>
  <si>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</si>
  <si>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</si>
  <si>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</si>
  <si>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</si>
  <si>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</si>
  <si>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</si>
  <si>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</si>
  <si>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</si>
  <si>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</si>
  <si>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</si>
  <si>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</si>
  <si>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</si>
  <si>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</si>
  <si>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</si>
  <si>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</si>
  <si>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</si>
  <si>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</si>
  <si>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</si>
  <si>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</si>
  <si>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</si>
  <si>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</si>
  <si>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</si>
  <si>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</si>
  <si>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</si>
  <si>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</si>
  <si>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</si>
  <si>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</si>
  <si>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</si>
  <si>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</si>
  <si>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</si>
  <si>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</si>
  <si>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</si>
  <si>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</si>
  <si>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</si>
  <si>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</si>
  <si>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</si>
  <si>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</si>
  <si>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</si>
  <si>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</si>
  <si>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</si>
  <si>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</si>
  <si>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</si>
  <si>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</si>
  <si>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</si>
  <si>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</si>
  <si>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</si>
  <si>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</si>
  <si>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</si>
  <si>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</si>
  <si>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</si>
  <si>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</si>
  <si>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</si>
  <si>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</si>
  <si>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</si>
  <si>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</si>
  <si>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</si>
  <si>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</si>
  <si>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</si>
  <si>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</si>
  <si>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</si>
  <si>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</si>
  <si>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</si>
  <si>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</si>
  <si>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</si>
  <si>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</si>
  <si>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</si>
  <si>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</si>
  <si>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</si>
  <si>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</si>
  <si>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</si>
  <si>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</si>
  <si>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</si>
  <si>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</si>
  <si>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</si>
  <si>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</si>
  <si>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</si>
  <si>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</si>
  <si>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</si>
  <si>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</si>
  <si>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</si>
  <si>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</si>
  <si>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</si>
  <si>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</si>
  <si>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</si>
  <si>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</si>
  <si>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</si>
  <si>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</si>
  <si>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</si>
  <si>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</si>
  <si>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</si>
  <si>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</si>
  <si>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</si>
  <si>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</si>
  <si>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</si>
  <si>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</si>
  <si>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</si>
  <si>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</si>
  <si>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</si>
  <si>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</si>
  <si>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</si>
  <si>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</si>
  <si>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</si>
  <si>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</si>
  <si>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</si>
  <si>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</si>
  <si>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</si>
  <si>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</si>
  <si>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</si>
  <si>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</si>
  <si>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</si>
  <si>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</si>
  <si>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</si>
  <si>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</si>
  <si>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</si>
  <si>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</si>
  <si>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</si>
  <si>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</si>
  <si>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</si>
  <si>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</si>
  <si>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</si>
  <si>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</si>
  <si>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</si>
  <si>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</si>
  <si>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</si>
  <si>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</si>
  <si>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</si>
  <si>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</si>
  <si>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</si>
  <si>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</si>
  <si>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</si>
  <si>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</si>
  <si>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</si>
  <si>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</si>
  <si>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</si>
  <si>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</si>
  <si>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</si>
  <si>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</si>
  <si>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</si>
  <si>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</si>
  <si>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</si>
  <si>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</si>
  <si>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</si>
  <si>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</si>
  <si>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</si>
  <si>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</si>
  <si>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</si>
  <si>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</si>
  <si>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</si>
  <si>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</si>
  <si>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</si>
  <si>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</si>
  <si>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</si>
  <si>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</si>
  <si>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</si>
  <si>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</si>
  <si>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</si>
  <si>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</si>
  <si>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</si>
  <si>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</si>
  <si>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</si>
  <si>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</si>
  <si>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</si>
  <si>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</si>
  <si>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</si>
  <si>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</si>
  <si>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</si>
  <si>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</si>
  <si>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</si>
  <si>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</si>
  <si>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</si>
  <si>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</si>
  <si>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</si>
  <si>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</si>
  <si>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</si>
  <si>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</si>
  <si>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</si>
  <si>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</si>
  <si>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</si>
  <si>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</si>
  <si>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</si>
  <si>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</si>
  <si>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</si>
  <si>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</si>
  <si>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</si>
  <si>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</si>
  <si>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</si>
  <si>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</si>
  <si>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</si>
  <si>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</si>
  <si>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</si>
  <si>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</si>
  <si>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</si>
  <si>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</si>
  <si>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</si>
  <si>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</si>
  <si>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</si>
  <si>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</si>
  <si>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</si>
  <si>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</si>
  <si>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</si>
  <si>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</si>
  <si>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</si>
  <si>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</si>
  <si>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</si>
  <si>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</si>
  <si>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</si>
  <si>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</si>
  <si>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</si>
  <si>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</si>
  <si>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</si>
  <si>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</si>
  <si>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</si>
  <si>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</si>
  <si>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</si>
  <si>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</si>
  <si>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</si>
  <si>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</si>
  <si>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</si>
  <si>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</si>
  <si>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</si>
  <si>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</si>
  <si>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</si>
  <si>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</si>
  <si>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</si>
  <si>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</si>
  <si>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</si>
  <si>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</si>
  <si>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</si>
  <si>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</si>
  <si>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</si>
  <si>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</si>
  <si>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</si>
  <si>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</si>
  <si>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</si>
  <si>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</si>
  <si>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</si>
  <si>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</si>
  <si>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</si>
  <si>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</si>
  <si>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</si>
  <si>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</si>
  <si>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</si>
  <si>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</si>
  <si>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</si>
  <si>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</si>
  <si>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</si>
  <si>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</si>
  <si>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</si>
  <si>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</si>
  <si>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</si>
  <si>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</si>
  <si>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</si>
  <si>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</si>
  <si>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</si>
  <si>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</si>
  <si>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</si>
  <si>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</si>
  <si>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</si>
  <si>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</si>
  <si>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</si>
  <si>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</si>
  <si>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</si>
  <si>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</si>
  <si>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</si>
  <si>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</si>
  <si>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</si>
  <si>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</si>
  <si>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</si>
  <si>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</si>
  <si>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</si>
  <si>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</si>
  <si>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</si>
  <si>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</si>
  <si>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</si>
  <si>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</si>
  <si>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</si>
  <si>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</si>
  <si>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</si>
  <si>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</si>
  <si>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</si>
  <si>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</si>
  <si>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</si>
  <si>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</si>
  <si>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</si>
  <si>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</si>
  <si>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</si>
  <si>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</si>
  <si>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</si>
  <si>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</si>
  <si>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</si>
  <si>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</si>
  <si>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</si>
  <si>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</si>
  <si>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</si>
  <si>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</si>
  <si>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</si>
  <si>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</si>
  <si>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</si>
  <si>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</si>
  <si>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</si>
  <si>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</si>
  <si>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</si>
  <si>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</si>
  <si>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</si>
  <si>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</si>
  <si>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</si>
  <si>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</si>
  <si>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</si>
  <si>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</si>
  <si>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</si>
  <si>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</si>
  <si>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</si>
  <si>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</si>
  <si>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</si>
  <si>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</si>
  <si>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</si>
  <si>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</si>
  <si>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</si>
  <si>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</si>
  <si>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</si>
  <si>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</si>
  <si>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</si>
  <si>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</si>
  <si>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</si>
  <si>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</si>
  <si>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</si>
  <si>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</si>
  <si>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</si>
  <si>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</si>
  <si>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</si>
  <si>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</si>
  <si>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</si>
  <si>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</si>
  <si>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</si>
  <si>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</si>
  <si>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</si>
  <si>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</si>
  <si>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</si>
  <si>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</si>
  <si>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</si>
  <si>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</si>
  <si>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</si>
  <si>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</si>
  <si>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</si>
  <si>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</si>
  <si>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</si>
  <si>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</si>
  <si>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</si>
  <si>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</si>
  <si>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</si>
  <si>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</si>
  <si>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</si>
  <si>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</si>
  <si>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</si>
  <si>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</si>
  <si>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</si>
  <si>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</si>
  <si>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</si>
  <si>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</si>
  <si>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</si>
  <si>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</si>
  <si>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</si>
  <si>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</si>
  <si>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</si>
  <si>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</si>
  <si>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</si>
  <si>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</si>
  <si>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</si>
  <si>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</si>
  <si>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</si>
  <si>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</si>
  <si>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</si>
  <si>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</si>
  <si>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</si>
  <si>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</si>
  <si>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</si>
  <si>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</si>
  <si>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</si>
  <si>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</si>
  <si>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</si>
  <si>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</si>
  <si>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</si>
  <si>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</si>
  <si>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</si>
  <si>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</si>
  <si>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</si>
  <si>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</si>
  <si>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</si>
  <si>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</si>
  <si>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</si>
  <si>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</si>
  <si>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</si>
  <si>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</si>
  <si>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</si>
  <si>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</si>
  <si>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</si>
  <si>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</si>
  <si>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</si>
  <si>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</si>
  <si>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</si>
  <si>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</si>
  <si>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</si>
  <si>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</si>
  <si>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</si>
  <si>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</si>
  <si>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</si>
  <si>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</si>
  <si>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</si>
  <si>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</si>
  <si>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</si>
  <si>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</si>
  <si>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</si>
  <si>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</si>
  <si>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</si>
  <si>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</si>
  <si>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</si>
  <si>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</si>
  <si>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</si>
  <si>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</si>
  <si>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</si>
  <si>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</si>
  <si>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</si>
  <si>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</si>
  <si>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</si>
  <si>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</si>
  <si>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</si>
  <si>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</si>
  <si>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</si>
  <si>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</si>
  <si>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</si>
  <si>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</si>
  <si>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</si>
  <si>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</si>
  <si>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</si>
  <si>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</si>
  <si>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</si>
  <si>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</si>
  <si>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</si>
  <si>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</si>
  <si>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</si>
  <si>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</si>
  <si>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</si>
  <si>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</si>
  <si>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</si>
  <si>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</si>
  <si>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</si>
  <si>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</si>
  <si>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</si>
  <si>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</si>
  <si>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</si>
  <si>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</si>
  <si>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</si>
  <si>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</si>
  <si>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</si>
  <si>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</si>
  <si>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</si>
  <si>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</si>
  <si>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</si>
  <si>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</si>
  <si>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</si>
  <si>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</si>
  <si>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</si>
  <si>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</si>
  <si>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</si>
  <si>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</si>
  <si>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</si>
  <si>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</si>
  <si>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</si>
  <si>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</si>
  <si>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</si>
  <si>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</si>
  <si>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</si>
  <si>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</si>
  <si>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</si>
  <si>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</si>
  <si>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</si>
  <si>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</si>
  <si>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</si>
  <si>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</si>
  <si>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</si>
  <si>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</si>
  <si>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</si>
  <si>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</si>
  <si>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</si>
  <si>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</si>
  <si>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</si>
  <si>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</si>
  <si>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</si>
  <si>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</si>
  <si>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</si>
  <si>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</si>
  <si>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</si>
  <si>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</si>
  <si>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</si>
  <si>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</si>
  <si>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</si>
  <si>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</si>
  <si>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</si>
  <si>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</si>
  <si>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</si>
  <si>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</si>
  <si>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</si>
  <si>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</si>
  <si>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</si>
  <si>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</si>
  <si>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</si>
  <si>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</si>
  <si>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</si>
  <si>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</si>
  <si>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</si>
  <si>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</si>
  <si>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</si>
  <si>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</si>
  <si>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</si>
  <si>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</si>
  <si>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</si>
  <si>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</si>
  <si>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</si>
  <si>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</si>
  <si>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</si>
  <si>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</si>
  <si>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</si>
  <si>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</si>
  <si>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</si>
  <si>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</si>
  <si>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</si>
  <si>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</si>
  <si>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</si>
  <si>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</si>
  <si>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</si>
  <si>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</si>
  <si>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</si>
  <si>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</si>
  <si>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</si>
  <si>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</si>
  <si>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</si>
  <si>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</si>
  <si>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</si>
  <si>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</si>
  <si>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</si>
  <si>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</si>
  <si>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</si>
  <si>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</si>
  <si>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</si>
  <si>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</si>
  <si>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</si>
  <si>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</si>
  <si>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</si>
  <si>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</si>
  <si>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</si>
  <si>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</si>
  <si>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</si>
  <si>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</si>
  <si>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</si>
  <si>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</si>
  <si>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</si>
  <si>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</si>
  <si>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</si>
  <si>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</si>
  <si>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</si>
  <si>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</si>
  <si>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</si>
  <si>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</si>
  <si>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</si>
  <si>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</si>
  <si>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</si>
  <si>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</si>
  <si>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</si>
  <si>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</si>
  <si>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</si>
  <si>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</si>
  <si>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</si>
  <si>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</si>
  <si>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</si>
  <si>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</si>
  <si>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</si>
  <si>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</si>
  <si>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</si>
  <si>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</si>
  <si>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</si>
  <si>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</si>
  <si>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</si>
  <si>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</si>
  <si>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</si>
  <si>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</si>
  <si>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</si>
  <si>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</si>
  <si>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</si>
  <si>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</si>
  <si>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</si>
  <si>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</si>
  <si>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</si>
  <si>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</si>
  <si>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</si>
  <si>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</si>
  <si>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</si>
  <si>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</si>
  <si>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</si>
  <si>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</si>
  <si>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</si>
  <si>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</si>
  <si>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</si>
  <si>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</si>
  <si>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</si>
  <si>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</si>
  <si>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</si>
  <si>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</si>
  <si>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</si>
  <si>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</si>
  <si>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</si>
  <si>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</si>
  <si>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</si>
  <si>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</si>
  <si>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</si>
  <si>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</si>
  <si>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</si>
  <si>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</si>
  <si>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</si>
  <si>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</si>
  <si>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</si>
  <si>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</si>
  <si>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</si>
  <si>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</si>
  <si>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</si>
  <si>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</si>
  <si>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</si>
  <si>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</si>
  <si>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</si>
  <si>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</si>
  <si>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</si>
  <si>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</si>
  <si>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</si>
  <si>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</si>
  <si>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</si>
  <si>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</si>
  <si>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</si>
  <si>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</si>
  <si>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</si>
  <si>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</si>
  <si>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</si>
  <si>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</si>
  <si>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</si>
  <si>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</si>
  <si>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</si>
  <si>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</si>
  <si>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</si>
  <si>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</si>
  <si>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</si>
  <si>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</si>
  <si>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</si>
  <si>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</si>
  <si>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</si>
  <si>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</si>
  <si>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</si>
  <si>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</si>
  <si>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</si>
  <si>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</si>
  <si>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</si>
  <si>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</si>
  <si>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</si>
  <si>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</si>
  <si>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</si>
  <si>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</si>
  <si>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</si>
  <si>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</si>
  <si>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</si>
  <si>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</si>
  <si>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</si>
  <si>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</si>
  <si>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</si>
  <si>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</si>
  <si>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</si>
  <si>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</si>
  <si>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</si>
  <si>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</si>
  <si>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</si>
  <si>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</si>
  <si>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</si>
  <si>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</si>
  <si>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</si>
  <si>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</si>
  <si>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</si>
  <si>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</si>
  <si>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</si>
  <si>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</si>
  <si>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</si>
  <si>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</si>
  <si>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</si>
  <si>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</si>
  <si>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</si>
  <si>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</si>
  <si>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</si>
  <si>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</si>
  <si>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</si>
  <si>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</si>
  <si>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</si>
  <si>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</si>
  <si>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</si>
  <si>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</si>
  <si>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</si>
  <si>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</si>
  <si>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</si>
  <si>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</si>
  <si>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</si>
  <si>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</si>
  <si>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</si>
  <si>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</si>
  <si>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</si>
  <si>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</si>
  <si>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</si>
  <si>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</si>
  <si>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</si>
  <si>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</si>
  <si>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</si>
  <si>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</si>
  <si>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</si>
  <si>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</si>
  <si>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</si>
  <si>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</si>
  <si>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</si>
  <si>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</si>
  <si>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</si>
  <si>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</si>
  <si>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</si>
  <si>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</si>
  <si>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</si>
  <si>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</si>
  <si>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</si>
  <si>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</si>
  <si>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</si>
  <si>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</si>
  <si>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</si>
  <si>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</si>
  <si>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</si>
  <si>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</si>
  <si>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</si>
  <si>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</si>
  <si>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</si>
  <si>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</si>
  <si>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</si>
  <si>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</si>
  <si>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</si>
  <si>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</si>
  <si>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</si>
  <si>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</si>
  <si>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</si>
  <si>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</si>
  <si>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</si>
  <si>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</si>
  <si>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</si>
  <si>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</si>
  <si>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</si>
  <si>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</si>
  <si>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</si>
  <si>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</si>
  <si>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</si>
  <si>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</si>
  <si>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</si>
  <si>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</si>
  <si>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</si>
  <si>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</si>
  <si>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</si>
  <si>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</si>
  <si>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</si>
  <si>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</si>
  <si>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</si>
  <si>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</si>
  <si>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</si>
  <si>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</si>
  <si>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</si>
  <si>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</si>
  <si>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</si>
  <si>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</si>
  <si>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</si>
  <si>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</si>
  <si>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</si>
  <si>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</si>
  <si>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</si>
  <si>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</si>
  <si>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</si>
  <si>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</si>
  <si>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</si>
  <si>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</si>
  <si>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</si>
  <si>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</si>
  <si>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</si>
  <si>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</si>
  <si>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</si>
  <si>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</si>
  <si>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</si>
  <si>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</si>
  <si>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</si>
  <si>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</si>
  <si>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</si>
  <si>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</si>
  <si>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</si>
  <si>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</si>
  <si>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</si>
  <si>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</si>
  <si>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</si>
  <si>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</si>
  <si>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</si>
  <si>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</si>
  <si>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</si>
  <si>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</si>
  <si>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</si>
  <si>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</si>
  <si>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</si>
  <si>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</si>
  <si>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</si>
  <si>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</si>
  <si>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</si>
  <si>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</si>
  <si>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</si>
  <si>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</si>
  <si>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</si>
  <si>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</si>
  <si>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</si>
  <si>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</si>
  <si>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</si>
  <si>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</si>
  <si>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</si>
  <si>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</si>
  <si>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</si>
  <si>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</si>
  <si>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</si>
  <si>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</si>
  <si>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</si>
  <si>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</si>
  <si>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</si>
  <si>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</si>
  <si>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</si>
  <si>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</si>
  <si>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</si>
  <si>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</si>
  <si>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</si>
  <si>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</si>
  <si>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</si>
  <si>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</si>
  <si>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</si>
  <si>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</si>
  <si>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</si>
  <si>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</si>
  <si>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</si>
  <si>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</si>
  <si>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</si>
  <si>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</si>
  <si>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</si>
  <si>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</si>
  <si>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</si>
  <si>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</si>
  <si>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</si>
  <si>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</si>
  <si>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</si>
  <si>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</si>
  <si>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</si>
  <si>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</si>
  <si>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</si>
  <si>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</si>
  <si>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</si>
  <si>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</si>
  <si>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</si>
  <si>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</si>
  <si>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</si>
  <si>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</si>
  <si>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</si>
  <si>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</si>
  <si>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</si>
  <si>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</si>
  <si>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</si>
  <si>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</si>
  <si>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</si>
  <si>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</si>
  <si>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</si>
  <si>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</si>
  <si>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</si>
  <si>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</si>
  <si>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</si>
  <si>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</si>
  <si>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</si>
  <si>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</si>
  <si>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</si>
  <si>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</si>
  <si>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</si>
  <si>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</si>
  <si>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</si>
  <si>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</si>
  <si>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</si>
  <si>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</si>
  <si>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</si>
  <si>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</si>
  <si>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</si>
  <si>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</si>
  <si>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</si>
  <si>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</si>
  <si>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</si>
  <si>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</si>
  <si>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</si>
  <si>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</si>
  <si>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</si>
  <si>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</si>
  <si>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</si>
  <si>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</si>
  <si>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</si>
  <si>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</si>
  <si>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</si>
  <si>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</si>
  <si>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</si>
  <si>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</si>
  <si>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</si>
  <si>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</si>
  <si>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</si>
  <si>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</si>
  <si>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</si>
  <si>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</si>
  <si>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</si>
  <si>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</si>
  <si>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</si>
  <si>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</si>
  <si>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</si>
  <si>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</si>
  <si>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</si>
  <si>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</si>
  <si>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</si>
  <si>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</si>
  <si>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</si>
  <si>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</si>
  <si>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</si>
  <si>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</si>
  <si>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</si>
  <si>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</si>
  <si>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</si>
  <si>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</si>
  <si>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</si>
  <si>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</si>
  <si>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</si>
  <si>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</si>
  <si>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</si>
  <si>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</si>
  <si>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</si>
  <si>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</si>
  <si>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</si>
  <si>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</si>
  <si>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</si>
  <si>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</si>
  <si>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</si>
  <si>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</si>
  <si>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</si>
  <si>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</si>
  <si>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</si>
  <si>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</si>
  <si>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</si>
  <si>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</si>
  <si>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</si>
  <si>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</si>
  <si>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</si>
  <si>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</si>
  <si>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</si>
  <si>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</si>
  <si>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</si>
  <si>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</si>
  <si>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</si>
  <si>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</si>
  <si>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</si>
  <si>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</si>
  <si>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</si>
  <si>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</si>
  <si>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</si>
  <si>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</si>
  <si>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</si>
  <si>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</si>
  <si>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</si>
  <si>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</si>
  <si>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</si>
  <si>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</si>
  <si>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</si>
  <si>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</si>
  <si>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</si>
  <si>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</si>
  <si>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</si>
  <si>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</si>
  <si>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</si>
  <si>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</si>
  <si>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</si>
  <si>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</si>
  <si>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</si>
  <si>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</si>
  <si>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</si>
  <si>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</si>
  <si>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</si>
  <si>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</si>
  <si>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</si>
  <si>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</si>
  <si>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</si>
  <si>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</si>
  <si>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</si>
  <si>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</si>
  <si>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</si>
  <si>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</si>
  <si>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</si>
  <si>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</si>
  <si>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</si>
  <si>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</si>
  <si>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</si>
  <si>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</si>
  <si>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</si>
  <si>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</si>
  <si>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</si>
  <si>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</si>
  <si>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</si>
  <si>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</si>
  <si>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</si>
  <si>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</si>
  <si>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</si>
  <si>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</si>
  <si>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</si>
  <si>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</si>
  <si>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</si>
  <si>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</si>
  <si>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</si>
  <si>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</si>
  <si>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</si>
  <si>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</si>
  <si>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</si>
  <si>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</si>
  <si>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</si>
  <si>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</si>
  <si>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</si>
  <si>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</si>
  <si>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</si>
  <si>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</si>
  <si>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</si>
  <si>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</si>
  <si>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</si>
  <si>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</si>
  <si>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</si>
  <si>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</si>
  <si>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</si>
  <si>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</si>
  <si>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</si>
  <si>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</si>
  <si>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</si>
  <si>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</si>
  <si>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</si>
  <si>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</si>
  <si>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</si>
  <si>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</si>
  <si>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</si>
  <si>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</si>
  <si>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</si>
  <si>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</si>
  <si>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</si>
  <si>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</si>
  <si>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</si>
  <si>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</si>
  <si>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</si>
  <si>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</si>
  <si>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</si>
  <si>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</si>
  <si>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</si>
  <si>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</si>
  <si>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</si>
  <si>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</si>
  <si>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</si>
  <si>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</si>
  <si>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</si>
  <si>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</si>
  <si>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</si>
  <si>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</si>
  <si>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</si>
  <si>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</si>
  <si>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</si>
  <si>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</si>
  <si>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</si>
  <si>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</si>
  <si>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</si>
  <si>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</si>
  <si>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</si>
  <si>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</si>
  <si>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</si>
  <si>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</si>
  <si>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</si>
  <si>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</si>
  <si>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</si>
  <si>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</si>
  <si>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</si>
  <si>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</si>
  <si>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</si>
  <si>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</si>
  <si>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</si>
  <si>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</si>
  <si>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</si>
  <si>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</si>
  <si>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</si>
  <si>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</si>
  <si>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</si>
  <si>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</si>
  <si>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</si>
  <si>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</si>
  <si>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</si>
  <si>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</si>
  <si>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</si>
  <si>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</si>
  <si>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</si>
  <si>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</si>
  <si>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</si>
  <si>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</si>
  <si>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</si>
  <si>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</si>
  <si>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</si>
  <si>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</si>
  <si>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</si>
  <si>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</si>
  <si>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</si>
  <si>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</si>
  <si>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</si>
  <si>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</si>
  <si>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</si>
  <si>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</si>
  <si>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</si>
  <si>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</si>
  <si>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</si>
  <si>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</si>
  <si>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</si>
  <si>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</si>
  <si>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</si>
  <si>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</si>
  <si>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</si>
  <si>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</si>
  <si>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</si>
  <si>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</si>
  <si>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</si>
  <si>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</si>
  <si>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</si>
  <si>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</si>
  <si>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</si>
  <si>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</si>
  <si>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</si>
  <si>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</si>
  <si>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</si>
  <si>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</si>
  <si>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</si>
  <si>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</si>
  <si>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</si>
  <si>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</si>
  <si>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</si>
  <si>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</si>
  <si>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</si>
  <si>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</si>
  <si>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</si>
  <si>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</si>
  <si>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</si>
  <si>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</si>
  <si>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</si>
  <si>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</si>
  <si>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</si>
  <si>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</si>
  <si>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</si>
  <si>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</si>
  <si>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</si>
  <si>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</si>
  <si>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</si>
  <si>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</si>
  <si>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</si>
  <si>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</si>
  <si>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</si>
  <si>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</si>
  <si>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</si>
  <si>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</si>
  <si>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</si>
  <si>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</si>
  <si>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</si>
  <si>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</si>
  <si>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</si>
  <si>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</si>
  <si>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</si>
  <si>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</si>
  <si>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</si>
  <si>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</si>
  <si>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</si>
  <si>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</si>
  <si>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</si>
  <si>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</si>
  <si>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</si>
  <si>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</si>
  <si>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</si>
  <si>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</si>
  <si>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</si>
  <si>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</si>
  <si>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</si>
  <si>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</si>
  <si>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</si>
  <si>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</si>
  <si>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</si>
  <si>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</si>
  <si>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</si>
  <si>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</si>
  <si>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</si>
  <si>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</si>
  <si>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</si>
  <si>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</si>
  <si>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</si>
  <si>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</si>
  <si>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</si>
  <si>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</si>
  <si>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</si>
  <si>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</si>
  <si>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</si>
  <si>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</si>
  <si>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</si>
  <si>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</si>
  <si>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</si>
  <si>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</si>
  <si>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</si>
  <si>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</si>
  <si>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</si>
  <si>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</si>
  <si>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</si>
  <si>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</si>
  <si>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</si>
  <si>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</si>
  <si>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</si>
  <si>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</si>
  <si>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</si>
  <si>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</si>
  <si>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</si>
  <si>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</si>
  <si>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</si>
  <si>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</si>
  <si>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</si>
  <si>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</si>
  <si>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</si>
  <si>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</si>
  <si>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</si>
  <si>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</si>
  <si>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</si>
  <si>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</si>
  <si>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</si>
  <si>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</si>
  <si>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</si>
  <si>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</si>
  <si>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</si>
  <si>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</si>
  <si>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</si>
  <si>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</si>
  <si>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</si>
  <si>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</si>
  <si>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</si>
  <si>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</si>
  <si>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</si>
  <si>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</si>
  <si>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</si>
  <si>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</si>
  <si>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</si>
  <si>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</si>
  <si>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</si>
  <si>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</si>
  <si>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</si>
  <si>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</si>
  <si>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</si>
  <si>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</si>
  <si>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</si>
  <si>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</si>
  <si>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</si>
  <si>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</si>
  <si>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</si>
  <si>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</si>
  <si>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</si>
  <si>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</si>
  <si>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</si>
  <si>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</si>
  <si>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</si>
  <si>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</si>
  <si>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</si>
  <si>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</si>
  <si>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</si>
  <si>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</si>
  <si>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</si>
  <si>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</si>
  <si>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</si>
  <si>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</si>
  <si>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</si>
  <si>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</si>
  <si>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</si>
  <si>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</si>
  <si>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</si>
  <si>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</si>
  <si>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</si>
  <si>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</si>
  <si>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</si>
  <si>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</si>
  <si>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</si>
  <si>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</si>
  <si>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</si>
  <si>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</si>
  <si>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</si>
  <si>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</si>
  <si>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</si>
  <si>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</si>
  <si>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</si>
  <si>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</si>
  <si>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</si>
  <si>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</si>
  <si>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</si>
  <si>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</si>
  <si>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</si>
  <si>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</si>
  <si>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</si>
  <si>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</si>
  <si>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</si>
  <si>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</si>
  <si>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</si>
  <si>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</si>
  <si>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</si>
  <si>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</si>
  <si>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</si>
  <si>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</si>
  <si>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</si>
  <si>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</si>
  <si>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</si>
  <si>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</si>
  <si>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</si>
  <si>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</si>
  <si>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</si>
  <si>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</si>
  <si>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</si>
  <si>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</si>
  <si>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</si>
  <si>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</si>
  <si>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</si>
  <si>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</si>
  <si>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</si>
  <si>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</si>
  <si>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</si>
  <si>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</si>
  <si>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</si>
  <si>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</si>
  <si>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</si>
  <si>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</si>
  <si>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</si>
  <si>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</si>
  <si>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</si>
  <si>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</si>
  <si>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</si>
  <si>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</si>
  <si>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</si>
  <si>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</si>
  <si>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</si>
  <si>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</si>
  <si>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</si>
  <si>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</si>
  <si>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</si>
  <si>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</si>
  <si>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</si>
  <si>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</si>
  <si>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</si>
  <si>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</si>
  <si>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</si>
  <si>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</si>
  <si>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</si>
  <si>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</si>
  <si>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</si>
  <si>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</si>
  <si>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</si>
  <si>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</si>
  <si>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</si>
  <si>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</si>
  <si>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</si>
  <si>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</si>
  <si>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</si>
  <si>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</si>
  <si>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</si>
  <si>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</si>
  <si>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</si>
  <si>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</si>
  <si>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</si>
  <si>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</si>
  <si>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</si>
  <si>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</si>
  <si>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</si>
  <si>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</si>
  <si>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</si>
  <si>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</si>
  <si>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</si>
  <si>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</si>
  <si>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</si>
  <si>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</si>
  <si>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</si>
  <si>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</si>
  <si>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</si>
  <si>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</si>
  <si>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</si>
  <si>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</si>
  <si>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</si>
  <si>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</si>
  <si>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</si>
  <si>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</si>
  <si>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</si>
  <si>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</si>
  <si>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</si>
  <si>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</si>
  <si>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</si>
  <si>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</si>
  <si>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</si>
  <si>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</si>
  <si>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</si>
  <si>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</si>
  <si>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</si>
  <si>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</si>
  <si>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</si>
  <si>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</si>
  <si>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</si>
  <si>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</si>
  <si>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</si>
  <si>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</si>
  <si>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</si>
  <si>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</si>
  <si>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</si>
  <si>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</si>
  <si>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</si>
  <si>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</si>
  <si>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</si>
  <si>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</si>
  <si>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</si>
  <si>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</si>
  <si>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</si>
  <si>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</si>
  <si>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</si>
  <si>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</si>
  <si>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</si>
  <si>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</si>
  <si>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</si>
  <si>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</si>
  <si>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</si>
  <si>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</si>
  <si>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</si>
  <si>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</si>
  <si>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</si>
  <si>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</si>
  <si>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</si>
  <si>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</si>
  <si>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</si>
  <si>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</si>
  <si>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</si>
  <si>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</si>
  <si>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</si>
  <si>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</si>
  <si>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</si>
  <si>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</si>
  <si>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</si>
  <si>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</si>
  <si>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</si>
  <si>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</si>
  <si>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</si>
  <si>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</si>
  <si>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</si>
  <si>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</si>
  <si>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</si>
  <si>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</si>
  <si>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</si>
  <si>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</si>
  <si>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</si>
  <si>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</si>
  <si>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</si>
  <si>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</si>
  <si>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</si>
  <si>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</si>
  <si>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</si>
  <si>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</si>
  <si>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</si>
  <si>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</si>
  <si>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</si>
  <si>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</si>
  <si>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</si>
  <si>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</si>
  <si>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</si>
  <si>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</si>
  <si>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</si>
  <si>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</si>
  <si>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</si>
  <si>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</si>
  <si>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</si>
  <si>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</si>
  <si>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</si>
  <si>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</si>
  <si>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</si>
  <si>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</si>
  <si>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</si>
  <si>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</si>
  <si>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</si>
  <si>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</si>
  <si>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</si>
  <si>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</si>
  <si>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</si>
  <si>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</si>
  <si>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</si>
  <si>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</si>
  <si>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</si>
  <si>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</si>
  <si>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</si>
  <si>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</si>
  <si>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</si>
  <si>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</si>
  <si>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</si>
  <si>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</si>
  <si>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</si>
  <si>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</si>
  <si>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</si>
  <si>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</si>
  <si>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</si>
  <si>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</si>
  <si>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</si>
  <si>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</si>
  <si>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</si>
  <si>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</si>
  <si>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</si>
  <si>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</si>
  <si>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</si>
  <si>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</si>
  <si>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</si>
  <si>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</si>
  <si>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</si>
  <si>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</si>
  <si>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</si>
  <si>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</si>
  <si>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</si>
  <si>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</si>
  <si>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</si>
  <si>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</si>
  <si>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</si>
  <si>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</si>
  <si>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</si>
  <si>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</si>
  <si>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</si>
  <si>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</si>
  <si>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</si>
  <si>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</si>
  <si>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</si>
  <si>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</si>
  <si>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</si>
  <si>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</si>
  <si>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</si>
  <si>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</si>
  <si>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</si>
  <si>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</si>
  <si>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</si>
  <si>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</si>
  <si>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</si>
  <si>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</si>
  <si>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</si>
  <si>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</si>
  <si>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</si>
  <si>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</si>
  <si>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</si>
  <si>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</si>
  <si>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</si>
  <si>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</si>
  <si>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</si>
  <si>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</si>
  <si>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</si>
  <si>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</si>
  <si>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</si>
  <si>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</si>
  <si>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</si>
  <si>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</si>
  <si>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</si>
  <si>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</si>
  <si>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</si>
  <si>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</si>
  <si>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</si>
  <si>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</si>
  <si>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</si>
  <si>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</si>
  <si>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</si>
  <si>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</si>
  <si>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</si>
  <si>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</si>
  <si>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</si>
  <si>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</si>
  <si>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</si>
  <si>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</si>
  <si>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</si>
  <si>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</si>
  <si>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</si>
  <si>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</si>
  <si>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</si>
  <si>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</si>
  <si>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</si>
  <si>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</si>
  <si>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</si>
  <si>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</si>
  <si>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</si>
  <si>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</si>
  <si>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</si>
  <si>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</si>
  <si>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</si>
  <si>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</si>
  <si>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</si>
  <si>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</si>
  <si>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</si>
  <si>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</si>
  <si>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</si>
  <si>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</si>
  <si>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</si>
  <si>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</si>
  <si>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</si>
  <si>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</si>
  <si>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</si>
  <si>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</si>
  <si>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</si>
  <si>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</si>
  <si>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</si>
  <si>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</si>
  <si>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</si>
  <si>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</si>
  <si>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</si>
  <si>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</si>
  <si>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</si>
  <si>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</si>
  <si>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</si>
  <si>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</si>
  <si>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</si>
  <si>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</si>
  <si>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</si>
  <si>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</si>
  <si>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</si>
  <si>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</si>
  <si>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</si>
  <si>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</si>
  <si>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</si>
  <si>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</si>
  <si>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</si>
  <si>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</si>
  <si>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</si>
  <si>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</si>
  <si>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</si>
  <si>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</si>
  <si>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</si>
  <si>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</si>
  <si>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</si>
  <si>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</si>
  <si>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</si>
  <si>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</si>
  <si>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</si>
  <si>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</si>
  <si>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</si>
  <si>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</si>
  <si>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</si>
  <si>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</si>
  <si>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</si>
  <si>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</si>
  <si>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</si>
  <si>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</si>
  <si>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</si>
  <si>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</si>
  <si>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</si>
  <si>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</si>
  <si>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</si>
  <si>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</si>
  <si>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</si>
  <si>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</si>
  <si>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</si>
  <si>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</si>
  <si>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</si>
  <si>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</si>
  <si>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</si>
  <si>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</si>
  <si>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</si>
  <si>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</si>
  <si>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</si>
  <si>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</si>
  <si>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</si>
  <si>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</si>
  <si>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</si>
  <si>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</si>
  <si>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</si>
  <si>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</si>
  <si>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</si>
  <si>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</si>
  <si>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</si>
  <si>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</si>
  <si>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</si>
  <si>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</si>
  <si>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</si>
  <si>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</si>
  <si>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</si>
  <si>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</si>
  <si>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</si>
  <si>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</si>
  <si>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</si>
  <si>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</si>
  <si>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</si>
  <si>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</si>
  <si>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</si>
  <si>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</si>
  <si>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</si>
  <si>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</si>
  <si>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</si>
  <si>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</si>
  <si>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</si>
  <si>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</si>
  <si>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</si>
  <si>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</si>
  <si>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</si>
  <si>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</si>
  <si>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</si>
  <si>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</si>
  <si>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</si>
  <si>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</si>
  <si>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</si>
  <si>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</si>
  <si>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</si>
  <si>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</si>
  <si>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</si>
  <si>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</si>
  <si>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</si>
  <si>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</si>
  <si>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</si>
  <si>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</si>
  <si>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</si>
  <si>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</si>
  <si>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</si>
  <si>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</si>
  <si>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</si>
  <si>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</si>
  <si>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</si>
  <si>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</si>
  <si>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</si>
  <si>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</si>
  <si>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</si>
  <si>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</si>
  <si>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</si>
  <si>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</si>
  <si>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</si>
  <si>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</si>
  <si>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</si>
  <si>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</si>
  <si>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</si>
  <si>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</si>
  <si>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</si>
  <si>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</si>
  <si>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</si>
  <si>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</si>
  <si>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</si>
  <si>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</si>
  <si>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</si>
  <si>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</si>
  <si>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</si>
  <si>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</si>
  <si>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</si>
  <si>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</si>
  <si>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</si>
  <si>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</si>
  <si>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</si>
  <si>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</si>
  <si>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</si>
  <si>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</si>
  <si>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</si>
  <si>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</si>
  <si>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</si>
  <si>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</si>
  <si>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</si>
  <si>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</si>
  <si>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</si>
  <si>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</si>
  <si>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</si>
  <si>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</si>
  <si>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</si>
  <si>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</si>
  <si>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</si>
  <si>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</si>
  <si>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</si>
  <si>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</si>
  <si>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</si>
  <si>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</si>
  <si>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</si>
  <si>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</si>
  <si>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</si>
  <si>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</si>
  <si>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</si>
  <si>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</si>
  <si>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</si>
  <si>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</si>
  <si>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</si>
  <si>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</si>
  <si>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</si>
  <si>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</si>
  <si>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</si>
  <si>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</si>
  <si>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</si>
  <si>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</si>
  <si>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</si>
  <si>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</si>
  <si>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</si>
  <si>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</si>
  <si>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</si>
  <si>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</si>
  <si>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</si>
  <si>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</si>
  <si>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</si>
  <si>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</si>
  <si>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</si>
  <si>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</si>
  <si>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</si>
  <si>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</si>
  <si>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</si>
  <si>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</si>
  <si>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</si>
  <si>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</si>
  <si>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</si>
  <si>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</si>
  <si>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</si>
  <si>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</si>
  <si>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</si>
  <si>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</si>
  <si>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</si>
  <si>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</si>
  <si>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</si>
  <si>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</si>
  <si>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</si>
  <si>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</si>
  <si>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</si>
  <si>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</si>
  <si>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</si>
  <si>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</si>
  <si>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</si>
  <si>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</si>
  <si>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</si>
  <si>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</si>
  <si>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</si>
  <si>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</si>
  <si>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</si>
  <si>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</si>
  <si>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</si>
  <si>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</si>
  <si>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</si>
  <si>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</si>
  <si>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</si>
  <si>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</si>
  <si>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</si>
  <si>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</si>
  <si>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</si>
  <si>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</si>
  <si>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</si>
  <si>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</si>
  <si>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</si>
  <si>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</si>
  <si>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</si>
  <si>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</si>
  <si>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</si>
  <si>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</si>
  <si>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</si>
  <si>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</si>
  <si>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</si>
  <si>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</si>
  <si>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</si>
  <si>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</si>
  <si>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</si>
  <si>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</si>
  <si>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</si>
  <si>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</si>
  <si>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</si>
  <si>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</si>
  <si>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</si>
  <si>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</si>
  <si>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</si>
  <si>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</si>
  <si>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</si>
  <si>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</si>
  <si>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</si>
  <si>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</si>
  <si>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</si>
  <si>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</si>
  <si>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</si>
  <si>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</si>
  <si>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</si>
  <si>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</si>
  <si>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</si>
  <si>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</si>
  <si>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</si>
  <si>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</si>
  <si>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</si>
  <si>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</si>
  <si>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</si>
  <si>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</si>
  <si>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</si>
  <si>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</si>
  <si>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</si>
  <si>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</si>
  <si>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</si>
  <si>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</si>
  <si>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</si>
  <si>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</si>
  <si>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</si>
  <si>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</si>
  <si>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</si>
  <si>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</si>
  <si>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</si>
  <si>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</si>
  <si>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</si>
  <si>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</si>
  <si>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</si>
  <si>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</si>
  <si>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</si>
  <si>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</si>
  <si>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</si>
  <si>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</si>
  <si>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</si>
  <si>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</si>
  <si>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</si>
  <si>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</si>
  <si>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</si>
  <si>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</si>
  <si>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</si>
  <si>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</si>
  <si>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</si>
  <si>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</si>
  <si>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</si>
  <si>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</si>
  <si>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</si>
  <si>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</si>
  <si>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</si>
  <si>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</si>
  <si>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</si>
  <si>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</si>
  <si>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</si>
  <si>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</si>
  <si>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</si>
  <si>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</si>
  <si>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</si>
  <si>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</si>
  <si>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</si>
  <si>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</si>
  <si>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</si>
  <si>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</si>
  <si>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</si>
  <si>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</si>
  <si>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</si>
  <si>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</si>
  <si>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</si>
  <si>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</si>
  <si>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</si>
  <si>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</si>
  <si>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</si>
  <si>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</si>
  <si>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</si>
  <si>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</si>
  <si>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</si>
  <si>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</si>
  <si>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</si>
  <si>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</si>
  <si>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</si>
  <si>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</si>
  <si>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</si>
  <si>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</si>
  <si>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</si>
  <si>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</si>
  <si>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</si>
  <si>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</si>
  <si>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</si>
  <si>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</si>
  <si>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</si>
  <si>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</si>
  <si>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</si>
  <si>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</si>
  <si>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</si>
  <si>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</si>
  <si>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</si>
  <si>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</si>
  <si>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</si>
  <si>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</si>
  <si>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</si>
  <si>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</si>
  <si>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</si>
  <si>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</si>
  <si>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</si>
  <si>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</si>
  <si>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</si>
  <si>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</si>
  <si>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</si>
  <si>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</si>
  <si>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</si>
  <si>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</si>
  <si>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</si>
  <si>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</si>
  <si>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</si>
  <si>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</si>
  <si>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</si>
  <si>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</si>
  <si>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</si>
  <si>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</si>
  <si>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</si>
  <si>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</si>
  <si>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</si>
  <si>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</si>
  <si>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</si>
  <si>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</si>
  <si>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</si>
  <si>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</si>
  <si>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</si>
  <si>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</si>
  <si>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</si>
  <si>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</si>
  <si>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</si>
  <si>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</si>
  <si>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</si>
  <si>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</si>
  <si>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</si>
  <si>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</si>
  <si>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</si>
  <si>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</si>
  <si>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</si>
  <si>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</si>
  <si>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</si>
  <si>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</si>
  <si>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</si>
  <si>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</si>
  <si>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</si>
  <si>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</si>
  <si>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</si>
  <si>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</si>
  <si>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</si>
  <si>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</si>
  <si>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</si>
  <si>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</si>
  <si>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</si>
  <si>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</si>
  <si>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</si>
  <si>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</si>
  <si>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</si>
  <si>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</si>
  <si>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</si>
  <si>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</si>
  <si>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</si>
  <si>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</si>
  <si>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</si>
  <si>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</si>
  <si>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</si>
  <si>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</si>
  <si>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</si>
  <si>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</si>
  <si>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</si>
  <si>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</si>
  <si>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</si>
  <si>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</si>
  <si>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</si>
  <si>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</si>
  <si>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</si>
  <si>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</si>
  <si>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</si>
  <si>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</si>
  <si>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</si>
  <si>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</si>
  <si>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</si>
  <si>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</si>
  <si>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</si>
  <si>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</si>
  <si>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</si>
  <si>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</si>
  <si>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</si>
  <si>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</si>
  <si>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</si>
  <si>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</si>
  <si>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</si>
  <si>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</si>
  <si>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</si>
  <si>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</si>
  <si>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</si>
  <si>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</si>
  <si>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</si>
  <si>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</si>
  <si>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</si>
  <si>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</si>
  <si>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</si>
  <si>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</si>
  <si>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</si>
  <si>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</si>
  <si>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</si>
  <si>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</si>
  <si>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</si>
  <si>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</si>
  <si>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</si>
  <si>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</si>
  <si>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</si>
  <si>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</si>
  <si>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</si>
  <si>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</si>
  <si>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</si>
  <si>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</si>
  <si>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</si>
  <si>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</si>
  <si>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</si>
  <si>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</si>
  <si>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</si>
  <si>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</si>
  <si>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</si>
  <si>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</si>
  <si>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</si>
  <si>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</si>
  <si>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</si>
  <si>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</si>
  <si>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</si>
  <si>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</si>
  <si>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</si>
  <si>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</si>
  <si>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</si>
  <si>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</si>
  <si>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</si>
  <si>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</si>
  <si>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</si>
  <si>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</si>
  <si>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</si>
  <si>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</si>
  <si>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</si>
  <si>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</si>
  <si>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</si>
  <si>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</si>
  <si>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</si>
  <si>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</si>
  <si>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</si>
  <si>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</si>
  <si>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</si>
  <si>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</si>
  <si>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</si>
  <si>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</si>
  <si>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</si>
  <si>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</si>
  <si>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</si>
  <si>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</si>
  <si>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</si>
  <si>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</si>
  <si>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</si>
  <si>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</si>
  <si>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</si>
  <si>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</si>
  <si>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</si>
  <si>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</si>
  <si>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Mine de Bou-Azzer</t>
  </si>
  <si>
    <t>Shu Powders Africa (Pty) Ltd.</t>
  </si>
  <si>
    <t>Jervois Finland OY</t>
  </si>
  <si>
    <t>Zhejiang Power New Energy Materials Co., Ltd.</t>
  </si>
  <si>
    <t>CID003279</t>
  </si>
  <si>
    <t>CID003309</t>
  </si>
  <si>
    <t>CID003472</t>
  </si>
  <si>
    <t>CID003702</t>
  </si>
  <si>
    <t>Tazenakht</t>
  </si>
  <si>
    <t>Cato Ridge</t>
  </si>
  <si>
    <t>KZN</t>
  </si>
  <si>
    <t>Zhuji</t>
  </si>
  <si>
    <t>Zhejiang</t>
  </si>
  <si>
    <t>Robert Bosch, LLC</t>
  </si>
  <si>
    <t>Multiple - EMRT covers all Bosch locations worldwide</t>
  </si>
  <si>
    <t>Conflict Minerals Team</t>
  </si>
  <si>
    <t>customer.conflictminerals@us.bosch.com</t>
  </si>
  <si>
    <t>734-979-3150</t>
  </si>
  <si>
    <t>Customer Conflict Minerals Team</t>
  </si>
  <si>
    <t>734.979.3150</t>
  </si>
  <si>
    <t>Errors are fed back to suppliers</t>
  </si>
  <si>
    <t>Plausibility check is performed</t>
  </si>
  <si>
    <t>Require either the EMRT, iPCMP or IPC-1755 compatible data formats.</t>
  </si>
  <si>
    <t>Following the OECD guidelines.  Conducting spot assessment of selected suppliers responses</t>
  </si>
  <si>
    <t>https://www.bosch.us/terms-of-use/terms-of-use/notices/</t>
  </si>
  <si>
    <t>Smelter data obtained from our suppliers has been provided for follow-up; undetermined smelter names are not included for follow-up</t>
  </si>
  <si>
    <t>With a supplier response rate of less than 100%, Bosch is unable to confirm if all of the smelters within the supply chain have been identified</t>
  </si>
  <si>
    <t>Bosch has an expansive supply chain and continues to follow up with our suppliers to collect the appropriate information.  Bosch has achieved a response rate of 78%</t>
  </si>
  <si>
    <t>Some Cobalt smelters within our supply chain are RMI Conformant; see smelter list; Country location of smelter is available in smelter list.</t>
  </si>
  <si>
    <t>Not disclosed per LBMA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</si>
</sst>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osch.us/terms-of-use/terms-of-use/notices/" TargetMode="External"/><Relationship Id="rId2" Type="http://schemas.openxmlformats.org/officeDocument/2006/relationships/hyperlink" Target="mailto:customer.conflictminerals@us.bosch.com" TargetMode="External"/><Relationship Id="rId1" Type="http://schemas.openxmlformats.org/officeDocument/2006/relationships/hyperlink" Target="mailto:customer.conflictminerals@us.bosch.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65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EB22DCB-0BDD-4C15-A1CC-092AB581B296}"/>
    </customSheetView>
    <customSheetView guid="{C59130F4-2E03-5E48-94CE-6E4A0484DB9E}" showAutoFilter="1">
      <selection activeCell="E4" sqref="E4"/>
      <pageMargins left="0" right="0" top="0" bottom="0" header="0" footer="0"/>
      <pageSetup paperSize="9" orientation="portrait"/>
      <headerFooter alignWithMargins="0"/>
      <autoFilter ref="B1:N1" xr:uid="{A31FCA00-5913-463E-9694-1D8B99DD83E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BAFACDF6-72A6-404B-B67F-0A1EC96FF133}"/>
    </customSheetView>
    <customSheetView guid="{C59130F4-2E03-5E48-94CE-6E4A0484DB9E}" showAutoFilter="1">
      <selection activeCell="C1" sqref="C1:D65536"/>
      <pageMargins left="0" right="0" top="0" bottom="0" header="0" footer="0"/>
      <pageSetup orientation="portrait"/>
      <headerFooter alignWithMargins="0"/>
      <autoFilter ref="B1:C1" xr:uid="{3210989B-7A47-4552-A2B8-514844B91FA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D23" zoomScaleNormal="100" workbookViewId="0">
      <selection activeCell="G54" sqref="G54:J54"/>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20064</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19147</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19150</v>
      </c>
      <c r="F13" s="42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t="s">
        <v>20065</v>
      </c>
      <c r="E18" s="413"/>
      <c r="F18" s="413"/>
      <c r="G18" s="413"/>
      <c r="H18" s="413"/>
      <c r="I18" s="413"/>
      <c r="J18" s="414"/>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12" t="s">
        <v>20066</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20067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20068</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20069</v>
      </c>
      <c r="E22" s="413"/>
      <c r="F22" s="413"/>
      <c r="G22" s="413"/>
      <c r="H22" s="413"/>
      <c r="I22" s="413"/>
      <c r="J22" s="414"/>
      <c r="K22" s="29"/>
      <c r="L22" s="98"/>
      <c r="Q22" s="2"/>
      <c r="R22" s="2"/>
      <c r="S22" s="2"/>
      <c r="T22" s="2"/>
      <c r="U22" s="2"/>
      <c r="V22" s="2"/>
      <c r="W22" s="2"/>
      <c r="X22" s="2"/>
      <c r="Y22" s="2"/>
      <c r="Z22" s="2"/>
      <c r="AA22" s="2">
        <f>10-COUNTIF(AA12:AA21,"")</f>
        <v>1</v>
      </c>
      <c r="AB22" s="2"/>
      <c r="AC22" s="2"/>
      <c r="AD22" s="2"/>
      <c r="AE22" s="2"/>
      <c r="AF22" s="2"/>
      <c r="AG22" s="2"/>
    </row>
    <row r="23" spans="1:33" ht="22.5">
      <c r="A23" s="31"/>
      <c r="B23" s="33" t="str">
        <f ca="1">OFFSET(L!$C$1,MATCH("Declaration"&amp;ADDRESS(ROW(),COLUMN(),4),L!$A:$A,0)-1,SL,,)</f>
        <v>Title - Authorizer:</v>
      </c>
      <c r="C23" s="67"/>
      <c r="D23" s="412" t="s">
        <v>20069</v>
      </c>
      <c r="E23" s="413"/>
      <c r="F23" s="413"/>
      <c r="G23" s="413"/>
      <c r="H23" s="413"/>
      <c r="I23" s="413"/>
      <c r="J23" s="414"/>
      <c r="K23" s="29"/>
      <c r="L23" s="98"/>
      <c r="P23" s="2"/>
      <c r="Q23" s="2"/>
      <c r="R23" s="2"/>
      <c r="S23" s="2"/>
      <c r="T23" s="2"/>
      <c r="U23" s="2"/>
      <c r="V23" s="2"/>
      <c r="W23" s="2"/>
      <c r="X23" s="2"/>
      <c r="Y23" s="2"/>
      <c r="Z23" s="2"/>
      <c r="AA23" s="2">
        <f>IF(AA22=0,0.1,AA22)</f>
        <v>1</v>
      </c>
      <c r="AB23" s="2"/>
      <c r="AC23" s="2"/>
      <c r="AD23" s="2"/>
      <c r="AE23" s="2"/>
      <c r="AF23" s="2"/>
      <c r="AG23" s="2"/>
    </row>
    <row r="24" spans="1:33" ht="22.5">
      <c r="A24" s="31"/>
      <c r="B24" s="33" t="str">
        <f ca="1">OFFSET(L!$C$1,MATCH("Declaration"&amp;ADDRESS(ROW(),COLUMN(),4),L!$A:$A,0)-1,SL,,)</f>
        <v>Email - Authorizer (*):</v>
      </c>
      <c r="C24" s="67"/>
      <c r="D24" s="434" t="s">
        <v>20067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20070</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45782</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
      </c>
      <c r="C31" s="28"/>
      <c r="D31" s="437"/>
      <c r="E31" s="438"/>
      <c r="F31" s="8"/>
      <c r="G31" s="400"/>
      <c r="H31" s="401"/>
      <c r="I31" s="401"/>
      <c r="J31" s="402"/>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25</v>
      </c>
      <c r="E54" s="438"/>
      <c r="F54" s="40"/>
      <c r="G54" s="400" t="s">
        <v>20079</v>
      </c>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1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2"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28</v>
      </c>
      <c r="E78" s="438"/>
      <c r="F78" s="40"/>
      <c r="G78" s="400" t="s">
        <v>20078</v>
      </c>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22</v>
      </c>
      <c r="E90" s="438"/>
      <c r="F90" s="40"/>
      <c r="G90" s="400" t="s">
        <v>20077</v>
      </c>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t="s">
        <v>20076</v>
      </c>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t="s">
        <v>20076</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20075</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t="s">
        <v>20074</v>
      </c>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t="s">
        <v>20074</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t="s">
        <v>20073</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t="s">
        <v>20072</v>
      </c>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t="s">
        <v>20071</v>
      </c>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FB68AB32-D318-44F4-8B7A-B15C68FF1285}"/>
    <hyperlink ref="D24" r:id="rId2" xr:uid="{3D72AED2-52D5-4887-BCBD-45342E24D737}"/>
    <hyperlink ref="G117" r:id="rId3" xr:uid="{BBB94DBE-009C-4A1C-955A-764753CED51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zoomScaleNormal="100" workbookViewId="0">
      <pane xSplit="1" topLeftCell="B1" activePane="topRight" state="frozen"/>
      <selection activeCell="A2" sqref="A2"/>
      <selection pane="topRight" activeCell="O5" sqref="O5:O8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89.25">
      <c r="A5" s="198" t="s">
        <v>19231</v>
      </c>
      <c r="B5" s="304" t="str">
        <f ca="1">IF(LEN(A5)=0,"",INDEX('Smelter Look-up'!$A:$A,MATCH($A5,'Smelter Look-up'!$E:$E,0)))</f>
        <v>Cobalt</v>
      </c>
      <c r="C5" s="152" t="str">
        <f ca="1">IF(LEN(A5)=0,"",INDEX('Smelter Look-up'!$C:$C,MATCH($A5,'Smelter Look-up'!$E:$E,0)))</f>
        <v>Gangzhou Yi Hao Umicore Industry Co.</v>
      </c>
      <c r="D5" s="149"/>
      <c r="E5" s="149" t="str">
        <f ca="1">IF(ISERROR($V5),"",OFFSET('Smelter Look-up'!$D$4,$V5-4,0)&amp;"")</f>
        <v>CHINA</v>
      </c>
      <c r="F5" s="149" t="str">
        <f ca="1">IF(ISERROR($V5),"",OFFSET('Smelter Look-up'!$E$4,$V5-4,0))</f>
        <v>CID003227</v>
      </c>
      <c r="G5" s="149" t="str">
        <f ca="1">IF(C5=$X$4,"Enter smelter details",IF(ISERROR($V5),"",OFFSET('Smelter Look-up'!$F$4,$V5-4,0)))</f>
        <v>RMI</v>
      </c>
      <c r="H5" s="206">
        <f ca="1">IF(ISERROR($V5),"",OFFSET('Smelter Look-up'!$G$4,$V5-4,0))</f>
        <v>0</v>
      </c>
      <c r="I5" s="207" t="str">
        <f ca="1">IF(ISERROR($V5),"",OFFSET('Smelter Look-up'!$H$4,$V5-4,0))</f>
        <v>Ganzhou</v>
      </c>
      <c r="J5" s="207" t="str">
        <f ca="1">IF(ISERROR($V5),"",OFFSET('Smelter Look-up'!$I$4,$V5-4,0))</f>
        <v>Jiangxi Sheng</v>
      </c>
      <c r="K5" s="150"/>
      <c r="L5" s="150"/>
      <c r="M5" s="150"/>
      <c r="N5" s="150"/>
      <c r="O5" s="150" t="s">
        <v>20080</v>
      </c>
      <c r="P5" s="209"/>
      <c r="Q5" s="151"/>
      <c r="R5" s="149" t="str">
        <f ca="1">IF(ISERROR($V5),"",OFFSET('Smelter Look-up'!$C$4,$V5-4,0)&amp;"")</f>
        <v>Gangzhou Yi Hao Umicore Industry Co.</v>
      </c>
      <c r="S5" s="155" t="str">
        <f t="shared" ref="S5:S12" ca="1" si="0">IF(B5="","",IF(ISERROR(MATCH($E5,CL,0)),"Unknown",INDIRECT("'C'!$A$"&amp;MATCH($E5,CL,0)+1)))</f>
        <v>CN</v>
      </c>
      <c r="T5" s="155" t="str">
        <f ca="1">IF(B5="","",IF(ISERROR(MATCH($J5,SorP!$B$1:$B$6226,0)),"",INDIRECT("'SorP'!$A$"&amp;MATCH($S5&amp;$J5,SorP!C:C,0))))</f>
        <v>CN-JX</v>
      </c>
      <c r="U5" s="168"/>
      <c r="V5" s="169">
        <f ca="1">IF(C5="",NA(),MATCH($B5&amp;$C5,'Smelter Look-up'!$J:$J,0))</f>
        <v>31</v>
      </c>
      <c r="X5" s="170">
        <f t="shared" ref="X5:X12" ca="1" si="1">IF(AND(C5="Smelter not listed",OR(LEN(D5)=0,LEN(E5)=0)),1,0)</f>
        <v>0</v>
      </c>
      <c r="AB5" s="314" t="str">
        <f t="shared" ref="AB5:AB12" ca="1" si="2">IF(C5="","",B5)</f>
        <v>Cobalt</v>
      </c>
    </row>
    <row r="6" spans="1:34" s="170" customFormat="1" ht="102">
      <c r="A6" s="198" t="s">
        <v>141</v>
      </c>
      <c r="B6" s="304" t="str">
        <f ca="1">IF(LEN(A6)=0,"",INDEX('Smelter Look-up'!$A:$A,MATCH($A6,'Smelter Look-up'!$E:$E,0)))</f>
        <v>Cobalt</v>
      </c>
      <c r="C6" s="152" t="str">
        <f ca="1">IF(LEN(A6)=0,"",INDEX('Smelter Look-up'!$C:$C,MATCH($A6,'Smelter Look-up'!$E:$E,0)))</f>
        <v>Hunan Brunp Recycling Technology Co., Ltd.</v>
      </c>
      <c r="D6" s="149"/>
      <c r="E6" s="149" t="str">
        <f ca="1">IF(ISERROR($V6),"",OFFSET('Smelter Look-up'!$D$4,$V6-4,0)&amp;"")</f>
        <v>CHINA</v>
      </c>
      <c r="F6" s="149" t="str">
        <f ca="1">IF(ISERROR($V6),"",OFFSET('Smelter Look-up'!$E$4,$V6-4,0))</f>
        <v>CID003219</v>
      </c>
      <c r="G6" s="149" t="str">
        <f ca="1">IF(C6=$X$4,"Enter smelter details",IF(ISERROR($V6),"",OFFSET('Smelter Look-up'!$F$4,$V6-4,0)))</f>
        <v>RMI</v>
      </c>
      <c r="H6" s="206">
        <f ca="1">IF(ISERROR($V6),"",OFFSET('Smelter Look-up'!$G$4,$V6-4,0))</f>
        <v>0</v>
      </c>
      <c r="I6" s="207" t="str">
        <f ca="1">IF(ISERROR($V6),"",OFFSET('Smelter Look-up'!$H$4,$V6-4,0))</f>
        <v>Changsha</v>
      </c>
      <c r="J6" s="207" t="str">
        <f ca="1">IF(ISERROR($V6),"",OFFSET('Smelter Look-up'!$I$4,$V6-4,0))</f>
        <v>Hunan Sheng</v>
      </c>
      <c r="K6" s="150"/>
      <c r="L6" s="150"/>
      <c r="M6" s="150"/>
      <c r="N6" s="150"/>
      <c r="O6" s="150" t="s">
        <v>20080</v>
      </c>
      <c r="P6" s="209"/>
      <c r="Q6" s="151"/>
      <c r="R6" s="149" t="str">
        <f ca="1">IF(ISERROR($V6),"",OFFSET('Smelter Look-up'!$C$4,$V6-4,0)&amp;"")</f>
        <v>Hunan Brunp Recycling Technology Co., Ltd.</v>
      </c>
      <c r="S6" s="155" t="str">
        <f t="shared" ca="1" si="0"/>
        <v>CN</v>
      </c>
      <c r="T6" s="155" t="str">
        <f ca="1">IF(B6="","",IF(ISERROR(MATCH($J6,SorP!$B$1:$B$6226,0)),"",INDIRECT("'SorP'!$A$"&amp;MATCH($S6&amp;$J6,SorP!C:C,0))))</f>
        <v>CN-HN</v>
      </c>
      <c r="U6" s="168"/>
      <c r="V6" s="169">
        <f ca="1">IF(C6="",NA(),MATCH($B6&amp;$C6,'Smelter Look-up'!$J:$J,0))</f>
        <v>48</v>
      </c>
      <c r="X6" s="170">
        <f t="shared" ca="1" si="1"/>
        <v>0</v>
      </c>
      <c r="AB6" s="314" t="str">
        <f t="shared" ca="1" si="2"/>
        <v>Cobalt</v>
      </c>
    </row>
    <row r="7" spans="1:34" s="170" customFormat="1" ht="38.25">
      <c r="A7" s="198" t="s">
        <v>157</v>
      </c>
      <c r="B7" s="304" t="str">
        <f ca="1">IF(LEN(A7)=0,"",INDEX('Smelter Look-up'!$A:$A,MATCH($A7,'Smelter Look-up'!$E:$E,0)))</f>
        <v>Cobalt</v>
      </c>
      <c r="C7" s="152" t="str">
        <f ca="1">IF(LEN(A7)=0,"",INDEX('Smelter Look-up'!$C:$C,MATCH($A7,'Smelter Look-up'!$E:$E,0)))</f>
        <v>ICoNiChem</v>
      </c>
      <c r="D7" s="149"/>
      <c r="E7" s="149" t="str">
        <f ca="1">IF(ISERROR($V7),"",OFFSET('Smelter Look-up'!$D$4,$V7-4,0)&amp;"")</f>
        <v>UNITED KINGDOM OF GREAT BRITAIN AND NORTHERN IRELAND</v>
      </c>
      <c r="F7" s="149" t="str">
        <f ca="1">IF(ISERROR($V7),"",OFFSET('Smelter Look-up'!$E$4,$V7-4,0))</f>
        <v>CID003491</v>
      </c>
      <c r="G7" s="149" t="str">
        <f ca="1">IF(C7=$X$4,"Enter smelter details",IF(ISERROR($V7),"",OFFSET('Smelter Look-up'!$F$4,$V7-4,0)))</f>
        <v>RMI</v>
      </c>
      <c r="H7" s="206">
        <f ca="1">IF(ISERROR($V7),"",OFFSET('Smelter Look-up'!$G$4,$V7-4,0))</f>
        <v>0</v>
      </c>
      <c r="I7" s="207" t="str">
        <f ca="1">IF(ISERROR($V7),"",OFFSET('Smelter Look-up'!$H$4,$V7-4,0))</f>
        <v>Widnes</v>
      </c>
      <c r="J7" s="207" t="str">
        <f ca="1">IF(ISERROR($V7),"",OFFSET('Smelter Look-up'!$I$4,$V7-4,0))</f>
        <v>Cheshire West and Chester</v>
      </c>
      <c r="K7" s="150"/>
      <c r="L7" s="150"/>
      <c r="M7" s="150"/>
      <c r="N7" s="150"/>
      <c r="O7" s="150" t="s">
        <v>20080</v>
      </c>
      <c r="P7" s="209"/>
      <c r="Q7" s="151"/>
      <c r="R7" s="149" t="str">
        <f ca="1">IF(ISERROR($V7),"",OFFSET('Smelter Look-up'!$C$4,$V7-4,0)&amp;"")</f>
        <v>ICoNiChem</v>
      </c>
      <c r="S7" s="155" t="str">
        <f t="shared" ca="1" si="0"/>
        <v>GB</v>
      </c>
      <c r="T7" s="155" t="str">
        <f ca="1">IF(B7="","",IF(ISERROR(MATCH($J7,SorP!$B$1:$B$6226,0)),"",INDIRECT("'SorP'!$A$"&amp;MATCH($S7&amp;$J7,SorP!C:C,0))))</f>
        <v>GB-CHW</v>
      </c>
      <c r="U7" s="168"/>
      <c r="V7" s="169">
        <f ca="1">IF(C7="",NA(),MATCH($B7&amp;$C7,'Smelter Look-up'!$J:$J,0))</f>
        <v>57</v>
      </c>
      <c r="X7" s="170">
        <f t="shared" ca="1" si="1"/>
        <v>0</v>
      </c>
      <c r="AB7" s="314" t="str">
        <f t="shared" ca="1" si="2"/>
        <v>Cobalt</v>
      </c>
    </row>
    <row r="8" spans="1:34" s="170" customFormat="1" ht="51">
      <c r="A8" s="198" t="s">
        <v>12271</v>
      </c>
      <c r="B8" s="304" t="str">
        <f ca="1">IF(LEN(A8)=0,"",INDEX('Smelter Look-up'!$A:$A,MATCH($A8,'Smelter Look-up'!$E:$E,0)))</f>
        <v>Cobalt</v>
      </c>
      <c r="C8" s="152" t="str">
        <f ca="1">IF(LEN(A8)=0,"",INDEX('Smelter Look-up'!$C:$C,MATCH($A8,'Smelter Look-up'!$E:$E,0)))</f>
        <v>LUILU RESSOURCES SAS</v>
      </c>
      <c r="D8" s="149"/>
      <c r="E8" s="149" t="str">
        <f ca="1">IF(ISERROR($V8),"",OFFSET('Smelter Look-up'!$D$4,$V8-4,0)&amp;"")</f>
        <v>CONGO, DEMOCRATIC REPUBLIC OF THE</v>
      </c>
      <c r="F8" s="149" t="str">
        <f ca="1">IF(ISERROR($V8),"",OFFSET('Smelter Look-up'!$E$4,$V8-4,0))</f>
        <v>CID004691</v>
      </c>
      <c r="G8" s="149" t="str">
        <f ca="1">IF(C8=$X$4,"Enter smelter details",IF(ISERROR($V8),"",OFFSET('Smelter Look-up'!$F$4,$V8-4,0)))</f>
        <v>RMI</v>
      </c>
      <c r="H8" s="206">
        <f ca="1">IF(ISERROR($V8),"",OFFSET('Smelter Look-up'!$G$4,$V8-4,0))</f>
        <v>0</v>
      </c>
      <c r="I8" s="207" t="str">
        <f ca="1">IF(ISERROR($V8),"",OFFSET('Smelter Look-up'!$H$4,$V8-4,0))</f>
        <v>Koruvichi</v>
      </c>
      <c r="J8" s="207" t="str">
        <f ca="1">IF(ISERROR($V8),"",OFFSET('Smelter Look-up'!$I$4,$V8-4,0))</f>
        <v>Lualaba</v>
      </c>
      <c r="K8" s="150"/>
      <c r="L8" s="150"/>
      <c r="M8" s="150"/>
      <c r="N8" s="150"/>
      <c r="O8" s="150" t="s">
        <v>20080</v>
      </c>
      <c r="P8" s="209"/>
      <c r="Q8" s="151"/>
      <c r="R8" s="149" t="str">
        <f ca="1">IF(ISERROR($V8),"",OFFSET('Smelter Look-up'!$C$4,$V8-4,0)&amp;"")</f>
        <v>LUILU RESSOURCES SAS</v>
      </c>
      <c r="S8" s="155" t="str">
        <f t="shared" ca="1" si="0"/>
        <v>CD</v>
      </c>
      <c r="T8" s="155" t="str">
        <f ca="1">IF(B8="","",IF(ISERROR(MATCH($J8,SorP!$B$1:$B$6226,0)),"",INDIRECT("'SorP'!$A$"&amp;MATCH($S8&amp;$J8,SorP!C:C,0))))</f>
        <v>CD-LU</v>
      </c>
      <c r="U8" s="168"/>
      <c r="V8" s="169">
        <f ca="1">IF(C8="",NA(),MATCH($B8&amp;$C8,'Smelter Look-up'!$J:$J,0))</f>
        <v>94</v>
      </c>
      <c r="X8" s="170">
        <f t="shared" ca="1" si="1"/>
        <v>0</v>
      </c>
      <c r="AB8" s="314" t="str">
        <f t="shared" ca="1" si="2"/>
        <v>Cobalt</v>
      </c>
    </row>
    <row r="9" spans="1:34" s="170" customFormat="1" ht="76.5">
      <c r="A9" s="198" t="s">
        <v>117</v>
      </c>
      <c r="B9" s="304" t="str">
        <f ca="1">IF(LEN(A9)=0,"",INDEX('Smelter Look-up'!$A:$A,MATCH($A9,'Smelter Look-up'!$E:$E,0)))</f>
        <v>Cobalt</v>
      </c>
      <c r="C9" s="152" t="str">
        <f ca="1">IF(LEN(A9)=0,"",INDEX('Smelter Look-up'!$C:$C,MATCH($A9,'Smelter Look-up'!$E:$E,0)))</f>
        <v>Glencore Nikkelverk Refinery</v>
      </c>
      <c r="D9" s="149"/>
      <c r="E9" s="149" t="str">
        <f ca="1">IF(ISERROR($V9),"",OFFSET('Smelter Look-up'!$D$4,$V9-4,0)&amp;"")</f>
        <v>NORWAY</v>
      </c>
      <c r="F9" s="149" t="str">
        <f ca="1">IF(ISERROR($V9),"",OFFSET('Smelter Look-up'!$E$4,$V9-4,0))</f>
        <v>CID003403</v>
      </c>
      <c r="G9" s="149" t="str">
        <f ca="1">IF(C9=$X$4,"Enter smelter details",IF(ISERROR($V9),"",OFFSET('Smelter Look-up'!$F$4,$V9-4,0)))</f>
        <v>RMI</v>
      </c>
      <c r="H9" s="206">
        <f ca="1">IF(ISERROR($V9),"",OFFSET('Smelter Look-up'!$G$4,$V9-4,0))</f>
        <v>0</v>
      </c>
      <c r="I9" s="207" t="str">
        <f ca="1">IF(ISERROR($V9),"",OFFSET('Smelter Look-up'!$H$4,$V9-4,0))</f>
        <v>Kristiansand</v>
      </c>
      <c r="J9" s="207" t="str">
        <f ca="1">IF(ISERROR($V9),"",OFFSET('Smelter Look-up'!$I$4,$V9-4,0))</f>
        <v>Agder</v>
      </c>
      <c r="K9" s="150"/>
      <c r="L9" s="150"/>
      <c r="M9" s="150"/>
      <c r="N9" s="150"/>
      <c r="O9" s="150" t="s">
        <v>20080</v>
      </c>
      <c r="P9" s="209"/>
      <c r="Q9" s="151"/>
      <c r="R9" s="149" t="str">
        <f ca="1">IF(ISERROR($V9),"",OFFSET('Smelter Look-up'!$C$4,$V9-4,0)&amp;"")</f>
        <v>Glencore Nikkelverk Refinery</v>
      </c>
      <c r="S9" s="155" t="str">
        <f t="shared" ca="1" si="0"/>
        <v>NO</v>
      </c>
      <c r="T9" s="155" t="str">
        <f ca="1">IF(B9="","",IF(ISERROR(MATCH($J9,SorP!$B$1:$B$6226,0)),"",INDIRECT("'SorP'!$A$"&amp;MATCH($S9&amp;$J9,SorP!C:C,0))))</f>
        <v>NO-42</v>
      </c>
      <c r="U9" s="168"/>
      <c r="V9" s="169">
        <f ca="1">IF(C9="",NA(),MATCH($B9&amp;$C9,'Smelter Look-up'!$J:$J,0))</f>
        <v>38</v>
      </c>
      <c r="X9" s="170">
        <f t="shared" ca="1" si="1"/>
        <v>0</v>
      </c>
      <c r="AB9" s="314" t="str">
        <f t="shared" ca="1" si="2"/>
        <v>Cobalt</v>
      </c>
    </row>
    <row r="10" spans="1:34" s="170" customFormat="1" ht="89.25">
      <c r="A10" s="198" t="s">
        <v>112</v>
      </c>
      <c r="B10" s="304" t="str">
        <f ca="1">IF(LEN(A10)=0,"",INDEX('Smelter Look-up'!$A:$A,MATCH($A10,'Smelter Look-up'!$E:$E,0)))</f>
        <v>Cobalt</v>
      </c>
      <c r="C10" s="152" t="str">
        <f ca="1">IF(LEN(A10)=0,"",INDEX('Smelter Look-up'!$C:$C,MATCH($A10,'Smelter Look-up'!$E:$E,0)))</f>
        <v>Gem (Jiangsu) Cobalt Industry Co., Ltd.</v>
      </c>
      <c r="D10" s="149"/>
      <c r="E10" s="149" t="str">
        <f ca="1">IF(ISERROR($V10),"",OFFSET('Smelter Look-up'!$D$4,$V10-4,0)&amp;"")</f>
        <v>CHINA</v>
      </c>
      <c r="F10" s="149" t="str">
        <f ca="1">IF(ISERROR($V10),"",OFFSET('Smelter Look-up'!$E$4,$V10-4,0))</f>
        <v>CID003209</v>
      </c>
      <c r="G10" s="149" t="str">
        <f ca="1">IF(C10=$X$4,"Enter smelter details",IF(ISERROR($V10),"",OFFSET('Smelter Look-up'!$F$4,$V10-4,0)))</f>
        <v>RMI</v>
      </c>
      <c r="H10" s="206">
        <f ca="1">IF(ISERROR($V10),"",OFFSET('Smelter Look-up'!$G$4,$V10-4,0))</f>
        <v>0</v>
      </c>
      <c r="I10" s="207" t="str">
        <f ca="1">IF(ISERROR($V10),"",OFFSET('Smelter Look-up'!$H$4,$V10-4,0))</f>
        <v>Taixing</v>
      </c>
      <c r="J10" s="207" t="str">
        <f ca="1">IF(ISERROR($V10),"",OFFSET('Smelter Look-up'!$I$4,$V10-4,0))</f>
        <v>Jiangsu Sheng</v>
      </c>
      <c r="K10" s="150"/>
      <c r="L10" s="150"/>
      <c r="M10" s="150"/>
      <c r="N10" s="150"/>
      <c r="O10" s="150" t="s">
        <v>20080</v>
      </c>
      <c r="P10" s="209"/>
      <c r="Q10" s="151"/>
      <c r="R10" s="149" t="str">
        <f ca="1">IF(ISERROR($V10),"",OFFSET('Smelter Look-up'!$C$4,$V10-4,0)&amp;"")</f>
        <v>Gem (Jiangsu) Cobalt Industry Co., Ltd.</v>
      </c>
      <c r="S10" s="155" t="str">
        <f t="shared" ca="1" si="0"/>
        <v>CN</v>
      </c>
      <c r="T10" s="155" t="str">
        <f ca="1">IF(B10="","",IF(ISERROR(MATCH($J10,SorP!$B$1:$B$6226,0)),"",INDIRECT("'SorP'!$A$"&amp;MATCH($S10&amp;$J10,SorP!C:C,0))))</f>
        <v>CN-JS</v>
      </c>
      <c r="U10" s="168"/>
      <c r="V10" s="169">
        <f ca="1">IF(C10="",NA(),MATCH($B10&amp;$C10,'Smelter Look-up'!$J:$J,0))</f>
        <v>36</v>
      </c>
      <c r="X10" s="170">
        <f t="shared" ca="1" si="1"/>
        <v>0</v>
      </c>
      <c r="AB10" s="314" t="str">
        <f t="shared" ca="1" si="2"/>
        <v>Cobalt</v>
      </c>
    </row>
    <row r="11" spans="1:34" s="170" customFormat="1" ht="153">
      <c r="A11" s="199" t="s">
        <v>185</v>
      </c>
      <c r="B11" s="304" t="str">
        <f ca="1">IF(LEN(A11)=0,"",INDEX('Smelter Look-up'!$A:$A,MATCH($A11,'Smelter Look-up'!$E:$E,0)))</f>
        <v>Cobalt</v>
      </c>
      <c r="C11" s="152" t="str">
        <f ca="1">IF(LEN(A11)=0,"",INDEX('Smelter Look-up'!$C:$C,MATCH($A11,'Smelter Look-up'!$E:$E,0)))</f>
        <v>Lanzhou Jinchuan Advanced Materials Technology Co., Ltd.</v>
      </c>
      <c r="D11" s="149"/>
      <c r="E11" s="149" t="str">
        <f ca="1">IF(ISERROR($V11),"",OFFSET('Smelter Look-up'!$D$4,$V11-4,0)&amp;"")</f>
        <v>CHINA</v>
      </c>
      <c r="F11" s="149" t="str">
        <f ca="1">IF(ISERROR($V11),"",OFFSET('Smelter Look-up'!$E$4,$V11-4,0))</f>
        <v>CID003210</v>
      </c>
      <c r="G11" s="149" t="str">
        <f ca="1">IF(C11=$X$4,"Enter smelter details",IF(ISERROR($V11),"",OFFSET('Smelter Look-up'!$F$4,$V11-4,0)))</f>
        <v>RMI</v>
      </c>
      <c r="H11" s="206">
        <f ca="1">IF(ISERROR($V11),"",OFFSET('Smelter Look-up'!$G$4,$V11-4,0))</f>
        <v>0</v>
      </c>
      <c r="I11" s="207" t="str">
        <f ca="1">IF(ISERROR($V11),"",OFFSET('Smelter Look-up'!$H$4,$V11-4,0))</f>
        <v>Lanzhou</v>
      </c>
      <c r="J11" s="207" t="str">
        <f ca="1">IF(ISERROR($V11),"",OFFSET('Smelter Look-up'!$I$4,$V11-4,0))</f>
        <v>Gansu Sheng</v>
      </c>
      <c r="K11" s="150"/>
      <c r="L11" s="150"/>
      <c r="M11" s="150"/>
      <c r="N11" s="150"/>
      <c r="O11" s="150" t="s">
        <v>20080</v>
      </c>
      <c r="P11" s="209"/>
      <c r="Q11" s="151"/>
      <c r="R11" s="149" t="str">
        <f ca="1">IF(ISERROR($V11),"",OFFSET('Smelter Look-up'!$C$4,$V11-4,0)&amp;"")</f>
        <v>Lanzhou Jinchuan Advanced Materials Technology Co., Ltd.</v>
      </c>
      <c r="S11" s="155" t="str">
        <f t="shared" ca="1" si="0"/>
        <v>CN</v>
      </c>
      <c r="T11" s="155" t="str">
        <f ca="1">IF(B11="","",IF(ISERROR(MATCH($J11,SorP!$B$1:$B$6226,0)),"",INDIRECT("'SorP'!$A$"&amp;MATCH($S11&amp;$J11,SorP!C:C,0))))</f>
        <v>CN-GS</v>
      </c>
      <c r="U11" s="168"/>
      <c r="V11" s="169">
        <f ca="1">IF(C11="",NA(),MATCH($B11&amp;$C11,'Smelter Look-up'!$J:$J,0))</f>
        <v>88</v>
      </c>
      <c r="X11" s="170">
        <f t="shared" ca="1" si="1"/>
        <v>0</v>
      </c>
      <c r="AB11" s="314" t="str">
        <f t="shared" ca="1" si="2"/>
        <v>Cobalt</v>
      </c>
    </row>
    <row r="12" spans="1:34" s="170" customFormat="1" ht="76.5">
      <c r="A12" s="198" t="s">
        <v>306</v>
      </c>
      <c r="B12" s="304" t="str">
        <f ca="1">IF(LEN(A12)=0,"",INDEX('Smelter Look-up'!$A:$A,MATCH($A12,'Smelter Look-up'!$E:$E,0)))</f>
        <v>Cobalt</v>
      </c>
      <c r="C12" s="152" t="str">
        <f ca="1">IF(LEN(A12)=0,"",INDEX('Smelter Look-up'!$C:$C,MATCH($A12,'Smelter Look-up'!$E:$E,0)))</f>
        <v>Zhuhai Kelixin Metal Materials Co., Ltd.</v>
      </c>
      <c r="D12" s="149"/>
      <c r="E12" s="149" t="str">
        <f ca="1">IF(ISERROR($V12),"",OFFSET('Smelter Look-up'!$D$4,$V12-4,0)&amp;"")</f>
        <v>CHINA</v>
      </c>
      <c r="F12" s="149" t="str">
        <f ca="1">IF(ISERROR($V12),"",OFFSET('Smelter Look-up'!$E$4,$V12-4,0))</f>
        <v>CID003211</v>
      </c>
      <c r="G12" s="149" t="str">
        <f ca="1">IF(C12=$X$4,"Enter smelter details",IF(ISERROR($V12),"",OFFSET('Smelter Look-up'!$F$4,$V12-4,0)))</f>
        <v>RMI</v>
      </c>
      <c r="H12" s="206">
        <f ca="1">IF(ISERROR($V12),"",OFFSET('Smelter Look-up'!$G$4,$V12-4,0))</f>
        <v>0</v>
      </c>
      <c r="I12" s="207" t="str">
        <f ca="1">IF(ISERROR($V12),"",OFFSET('Smelter Look-up'!$H$4,$V12-4,0))</f>
        <v>Zhuhai</v>
      </c>
      <c r="J12" s="207" t="str">
        <f ca="1">IF(ISERROR($V12),"",OFFSET('Smelter Look-up'!$I$4,$V12-4,0))</f>
        <v>Guangdong Sheng</v>
      </c>
      <c r="K12" s="150"/>
      <c r="L12" s="150"/>
      <c r="M12" s="150"/>
      <c r="N12" s="150"/>
      <c r="O12" s="150" t="s">
        <v>20080</v>
      </c>
      <c r="P12" s="209"/>
      <c r="Q12" s="151"/>
      <c r="R12" s="149" t="str">
        <f ca="1">IF(ISERROR($V12),"",OFFSET('Smelter Look-up'!$C$4,$V12-4,0)&amp;"")</f>
        <v>Zhuhai Kelixin Metal Materials Co., Ltd.</v>
      </c>
      <c r="S12" s="155" t="str">
        <f t="shared" ca="1" si="0"/>
        <v>CN</v>
      </c>
      <c r="T12" s="155" t="str">
        <f ca="1">IF(B12="","",IF(ISERROR(MATCH($J12,SorP!$B$1:$B$6226,0)),"",INDIRECT("'SorP'!$A$"&amp;MATCH($S12&amp;$J12,SorP!C:C,0))))</f>
        <v>CN-GD</v>
      </c>
      <c r="U12" s="168"/>
      <c r="V12" s="169">
        <f ca="1">IF(C12="",NA(),MATCH($B12&amp;$C12,'Smelter Look-up'!$J:$J,0))</f>
        <v>173</v>
      </c>
      <c r="X12" s="170">
        <f t="shared" ca="1" si="1"/>
        <v>0</v>
      </c>
      <c r="AB12" s="314" t="str">
        <f t="shared" ca="1" si="2"/>
        <v>Cobalt</v>
      </c>
    </row>
    <row r="13" spans="1:34" s="170" customFormat="1" ht="114.75">
      <c r="A13" s="198" t="s">
        <v>110</v>
      </c>
      <c r="B13" s="304" t="str">
        <f ca="1">IF(LEN(A13)=0,"",INDEX('Smelter Look-up'!$A:$A,MATCH($A13,'Smelter Look-up'!$E:$E,0)))</f>
        <v>Cobalt</v>
      </c>
      <c r="C13" s="152" t="str">
        <f ca="1">IF(LEN(A13)=0,"",INDEX('Smelter Look-up'!$C:$C,MATCH($A13,'Smelter Look-up'!$E:$E,0)))</f>
        <v>Ganzhou Tengyuan Cobalt New Material Co., Ltd.</v>
      </c>
      <c r="D13" s="149"/>
      <c r="E13" s="149" t="str">
        <f ca="1">IF(ISERROR($V13),"",OFFSET('Smelter Look-up'!$D$4,$V13-4,0)&amp;"")</f>
        <v>CHINA</v>
      </c>
      <c r="F13" s="149" t="str">
        <f ca="1">IF(ISERROR($V13),"",OFFSET('Smelter Look-up'!$E$4,$V13-4,0))</f>
        <v>CID003212</v>
      </c>
      <c r="G13" s="149" t="str">
        <f ca="1">IF(C13=$X$4,"Enter smelter details",IF(ISERROR($V13),"",OFFSET('Smelter Look-up'!$F$4,$V13-4,0)))</f>
        <v>RMI</v>
      </c>
      <c r="H13" s="206">
        <f ca="1">IF(ISERROR($V13),"",OFFSET('Smelter Look-up'!$G$4,$V13-4,0))</f>
        <v>0</v>
      </c>
      <c r="I13" s="207" t="str">
        <f ca="1">IF(ISERROR($V13),"",OFFSET('Smelter Look-up'!$H$4,$V13-4,0))</f>
        <v>Ganzhou</v>
      </c>
      <c r="J13" s="207" t="str">
        <f ca="1">IF(ISERROR($V13),"",OFFSET('Smelter Look-up'!$I$4,$V13-4,0))</f>
        <v>Jiangxi Sheng</v>
      </c>
      <c r="K13" s="150"/>
      <c r="L13" s="150"/>
      <c r="M13" s="150"/>
      <c r="N13" s="150"/>
      <c r="O13" s="150" t="s">
        <v>20080</v>
      </c>
      <c r="P13" s="209"/>
      <c r="Q13" s="151"/>
      <c r="R13" s="149" t="str">
        <f ca="1">IF(ISERROR($V13),"",OFFSET('Smelter Look-up'!$C$4,$V13-4,0)&amp;"")</f>
        <v>Ganzhou Tengyuan Cobalt New Material Co., Ltd.</v>
      </c>
      <c r="S13" s="155" t="str">
        <f t="shared" ref="S13:S63" ca="1" si="3">IF(B13="","",IF(ISERROR(MATCH($E13,CL,0)),"Unknown",INDIRECT("'C'!$A$"&amp;MATCH($E13,CL,0)+1)))</f>
        <v>CN</v>
      </c>
      <c r="T13" s="155" t="str">
        <f ca="1">IF(B13="","",IF(ISERROR(MATCH($J13,SorP!$B$1:$B$6226,0)),"",INDIRECT("'SorP'!$A$"&amp;MATCH($S13&amp;$J13,SorP!C:C,0))))</f>
        <v>CN-JX</v>
      </c>
      <c r="U13" s="168"/>
      <c r="V13" s="169">
        <f ca="1">IF(C13="",NA(),MATCH($B13&amp;$C13,'Smelter Look-up'!$J:$J,0))</f>
        <v>35</v>
      </c>
      <c r="X13" s="170">
        <f t="shared" ref="X13:X62" ca="1" si="4">IF(AND(C13="Smelter not listed",OR(LEN(D13)=0,LEN(E13)=0)),1,0)</f>
        <v>0</v>
      </c>
      <c r="AB13" s="314" t="str">
        <f t="shared" ref="AB13:AB69" ca="1" si="5">IF(C13="","",B13)</f>
        <v>Cobalt</v>
      </c>
    </row>
    <row r="14" spans="1:34" s="170" customFormat="1" ht="89.25">
      <c r="A14" s="199" t="s">
        <v>124</v>
      </c>
      <c r="B14" s="304" t="str">
        <f ca="1">IF(LEN(A14)=0,"",INDEX('Smelter Look-up'!$A:$A,MATCH($A14,'Smelter Look-up'!$E:$E,0)))</f>
        <v>Cobalt</v>
      </c>
      <c r="C14" s="152" t="str">
        <f ca="1">IF(LEN(A14)=0,"",INDEX('Smelter Look-up'!$C:$C,MATCH($A14,'Smelter Look-up'!$E:$E,0)))</f>
        <v>Guangxi Yinyi Advanced Material Co., Ltd.</v>
      </c>
      <c r="D14" s="149"/>
      <c r="E14" s="149" t="str">
        <f ca="1">IF(ISERROR($V14),"",OFFSET('Smelter Look-up'!$D$4,$V14-4,0)&amp;"")</f>
        <v>CHINA</v>
      </c>
      <c r="F14" s="149" t="str">
        <f ca="1">IF(ISERROR($V14),"",OFFSET('Smelter Look-up'!$E$4,$V14-4,0))</f>
        <v>CID003213</v>
      </c>
      <c r="G14" s="149" t="str">
        <f ca="1">IF(C14=$X$4,"Enter smelter details",IF(ISERROR($V14),"",OFFSET('Smelter Look-up'!$F$4,$V14-4,0)))</f>
        <v>RMI</v>
      </c>
      <c r="H14" s="206">
        <f ca="1">IF(ISERROR($V14),"",OFFSET('Smelter Look-up'!$G$4,$V14-4,0))</f>
        <v>0</v>
      </c>
      <c r="I14" s="207" t="str">
        <f ca="1">IF(ISERROR($V14),"",OFFSET('Smelter Look-up'!$H$4,$V14-4,0))</f>
        <v>Yulin</v>
      </c>
      <c r="J14" s="207" t="str">
        <f ca="1">IF(ISERROR($V14),"",OFFSET('Smelter Look-up'!$I$4,$V14-4,0))</f>
        <v>Guangxi Zhuangzu Zizhiqu</v>
      </c>
      <c r="K14" s="150"/>
      <c r="L14" s="150"/>
      <c r="M14" s="150"/>
      <c r="N14" s="150"/>
      <c r="O14" s="150" t="s">
        <v>20080</v>
      </c>
      <c r="P14" s="209"/>
      <c r="Q14" s="151"/>
      <c r="R14" s="149" t="str">
        <f ca="1">IF(ISERROR($V14),"",OFFSET('Smelter Look-up'!$C$4,$V14-4,0)&amp;"")</f>
        <v>Guangxi Yinyi Advanced Material Co., Ltd.</v>
      </c>
      <c r="S14" s="155" t="str">
        <f t="shared" ca="1" si="3"/>
        <v>CN</v>
      </c>
      <c r="T14" s="155" t="str">
        <f ca="1">IF(B14="","",IF(ISERROR(MATCH($J14,SorP!$B$1:$B$6226,0)),"",INDIRECT("'SorP'!$A$"&amp;MATCH($S14&amp;$J14,SorP!C:C,0))))</f>
        <v>CN-GX</v>
      </c>
      <c r="U14" s="168"/>
      <c r="V14" s="169">
        <f ca="1">IF(C14="",NA(),MATCH($B14&amp;$C14,'Smelter Look-up'!$J:$J,0))</f>
        <v>42</v>
      </c>
      <c r="X14" s="170">
        <f t="shared" ca="1" si="4"/>
        <v>0</v>
      </c>
      <c r="AB14" s="314" t="str">
        <f t="shared" ca="1" si="5"/>
        <v>Cobalt</v>
      </c>
    </row>
    <row r="15" spans="1:34" s="170" customFormat="1" ht="102">
      <c r="A15" s="199" t="s">
        <v>195</v>
      </c>
      <c r="B15" s="304" t="str">
        <f ca="1">IF(LEN(A15)=0,"",INDEX('Smelter Look-up'!$A:$A,MATCH($A15,'Smelter Look-up'!$E:$E,0)))</f>
        <v>Cobalt</v>
      </c>
      <c r="C15" s="152" t="str">
        <f ca="1">IF(LEN(A15)=0,"",INDEX('Smelter Look-up'!$C:$C,MATCH($A15,'Smelter Look-up'!$E:$E,0)))</f>
        <v>Tianjin Maolian Science &amp; Technology Co., Ltd.</v>
      </c>
      <c r="D15" s="149"/>
      <c r="E15" s="149" t="str">
        <f ca="1">IF(ISERROR($V15),"",OFFSET('Smelter Look-up'!$D$4,$V15-4,0)&amp;"")</f>
        <v>CHINA</v>
      </c>
      <c r="F15" s="149" t="str">
        <f ca="1">IF(ISERROR($V15),"",OFFSET('Smelter Look-up'!$E$4,$V15-4,0))</f>
        <v>CID003215</v>
      </c>
      <c r="G15" s="149" t="str">
        <f ca="1">IF(C15=$X$4,"Enter smelter details",IF(ISERROR($V15),"",OFFSET('Smelter Look-up'!$F$4,$V15-4,0)))</f>
        <v>RMI</v>
      </c>
      <c r="H15" s="206">
        <f ca="1">IF(ISERROR($V15),"",OFFSET('Smelter Look-up'!$G$4,$V15-4,0))</f>
        <v>0</v>
      </c>
      <c r="I15" s="207" t="str">
        <f ca="1">IF(ISERROR($V15),"",OFFSET('Smelter Look-up'!$H$4,$V15-4,0))</f>
        <v>Tianjin</v>
      </c>
      <c r="J15" s="207" t="str">
        <f ca="1">IF(ISERROR($V15),"",OFFSET('Smelter Look-up'!$I$4,$V15-4,0))</f>
        <v>Tianjin Shi</v>
      </c>
      <c r="K15" s="150"/>
      <c r="L15" s="150"/>
      <c r="M15" s="150"/>
      <c r="N15" s="150"/>
      <c r="O15" s="150" t="s">
        <v>20080</v>
      </c>
      <c r="P15" s="209"/>
      <c r="Q15" s="151"/>
      <c r="R15" s="149" t="str">
        <f ca="1">IF(ISERROR($V15),"",OFFSET('Smelter Look-up'!$C$4,$V15-4,0)&amp;"")</f>
        <v>Tianjin Maolian Science &amp; Technology Co., Ltd.</v>
      </c>
      <c r="S15" s="155" t="str">
        <f t="shared" ca="1" si="3"/>
        <v>CN</v>
      </c>
      <c r="T15" s="155" t="str">
        <f ca="1">IF(B15="","",IF(ISERROR(MATCH($J15,SorP!$B$1:$B$6226,0)),"",INDIRECT("'SorP'!$A$"&amp;MATCH($S15&amp;$J15,SorP!C:C,0))))</f>
        <v>CN-TJ</v>
      </c>
      <c r="U15" s="168"/>
      <c r="V15" s="169">
        <f ca="1">IF(C15="",NA(),MATCH($B15&amp;$C15,'Smelter Look-up'!$J:$J,0))</f>
        <v>151</v>
      </c>
      <c r="X15" s="170">
        <f t="shared" ca="1" si="4"/>
        <v>0</v>
      </c>
      <c r="AB15" s="314" t="str">
        <f t="shared" ca="1" si="5"/>
        <v>Cobalt</v>
      </c>
    </row>
    <row r="16" spans="1:34" s="170" customFormat="1" ht="89.25">
      <c r="A16" s="198" t="s">
        <v>301</v>
      </c>
      <c r="B16" s="304" t="str">
        <f ca="1">IF(LEN(A16)=0,"",INDEX('Smelter Look-up'!$A:$A,MATCH($A16,'Smelter Look-up'!$E:$E,0)))</f>
        <v>Cobalt</v>
      </c>
      <c r="C16" s="152" t="str">
        <f ca="1">IF(LEN(A16)=0,"",INDEX('Smelter Look-up'!$C:$C,MATCH($A16,'Smelter Look-up'!$E:$E,0)))</f>
        <v>Zhejiang Huayou Cobalt Company Limited</v>
      </c>
      <c r="D16" s="149"/>
      <c r="E16" s="149" t="str">
        <f ca="1">IF(ISERROR($V16),"",OFFSET('Smelter Look-up'!$D$4,$V16-4,0)&amp;"")</f>
        <v>CHINA</v>
      </c>
      <c r="F16" s="149" t="str">
        <f ca="1">IF(ISERROR($V16),"",OFFSET('Smelter Look-up'!$E$4,$V16-4,0))</f>
        <v>CID003225</v>
      </c>
      <c r="G16" s="149" t="str">
        <f ca="1">IF(C16=$X$4,"Enter smelter details",IF(ISERROR($V16),"",OFFSET('Smelter Look-up'!$F$4,$V16-4,0)))</f>
        <v>RMI</v>
      </c>
      <c r="H16" s="206">
        <f ca="1">IF(ISERROR($V16),"",OFFSET('Smelter Look-up'!$G$4,$V16-4,0))</f>
        <v>0</v>
      </c>
      <c r="I16" s="207" t="str">
        <f ca="1">IF(ISERROR($V16),"",OFFSET('Smelter Look-up'!$H$4,$V16-4,0))</f>
        <v>Tongxiang</v>
      </c>
      <c r="J16" s="207" t="str">
        <f ca="1">IF(ISERROR($V16),"",OFFSET('Smelter Look-up'!$I$4,$V16-4,0))</f>
        <v>Zhejiang Sheng</v>
      </c>
      <c r="K16" s="150"/>
      <c r="L16" s="150"/>
      <c r="M16" s="150"/>
      <c r="N16" s="150"/>
      <c r="O16" s="150" t="s">
        <v>20080</v>
      </c>
      <c r="P16" s="209"/>
      <c r="Q16" s="151"/>
      <c r="R16" s="149" t="str">
        <f ca="1">IF(ISERROR($V16),"",OFFSET('Smelter Look-up'!$C$4,$V16-4,0)&amp;"")</f>
        <v>Zhejiang Huayou Cobalt Company Limited</v>
      </c>
      <c r="S16" s="155" t="str">
        <f t="shared" ca="1" si="3"/>
        <v>CN</v>
      </c>
      <c r="T16" s="155" t="str">
        <f ca="1">IF(B16="","",IF(ISERROR(MATCH($J16,SorP!$B$1:$B$6226,0)),"",INDIRECT("'SorP'!$A$"&amp;MATCH($S16&amp;$J16,SorP!C:C,0))))</f>
        <v>CN-ZJ</v>
      </c>
      <c r="U16" s="168"/>
      <c r="V16" s="169">
        <f ca="1">IF(C16="",NA(),MATCH($B16&amp;$C16,'Smelter Look-up'!$J:$J,0))</f>
        <v>170</v>
      </c>
      <c r="X16" s="170">
        <f t="shared" ca="1" si="4"/>
        <v>0</v>
      </c>
      <c r="AB16" s="314" t="str">
        <f t="shared" ca="1" si="5"/>
        <v>Cobalt</v>
      </c>
    </row>
    <row r="17" spans="1:28" s="170" customFormat="1" ht="51">
      <c r="A17" s="198" t="s">
        <v>102</v>
      </c>
      <c r="B17" s="304" t="str">
        <f ca="1">IF(LEN(A17)=0,"",INDEX('Smelter Look-up'!$A:$A,MATCH($A17,'Smelter Look-up'!$E:$E,0)))</f>
        <v>Cobalt</v>
      </c>
      <c r="C17" s="152" t="str">
        <f ca="1">IF(LEN(A17)=0,"",INDEX('Smelter Look-up'!$C:$C,MATCH($A17,'Smelter Look-up'!$E:$E,0)))</f>
        <v>Umicore Finland Oy</v>
      </c>
      <c r="D17" s="149"/>
      <c r="E17" s="149" t="str">
        <f ca="1">IF(ISERROR($V17),"",OFFSET('Smelter Look-up'!$D$4,$V17-4,0)&amp;"")</f>
        <v>FINLAND</v>
      </c>
      <c r="F17" s="149" t="str">
        <f ca="1">IF(ISERROR($V17),"",OFFSET('Smelter Look-up'!$E$4,$V17-4,0))</f>
        <v>CID003226</v>
      </c>
      <c r="G17" s="149" t="str">
        <f ca="1">IF(C17=$X$4,"Enter smelter details",IF(ISERROR($V17),"",OFFSET('Smelter Look-up'!$F$4,$V17-4,0)))</f>
        <v>RMI</v>
      </c>
      <c r="H17" s="206">
        <f ca="1">IF(ISERROR($V17),"",OFFSET('Smelter Look-up'!$G$4,$V17-4,0))</f>
        <v>0</v>
      </c>
      <c r="I17" s="207" t="str">
        <f ca="1">IF(ISERROR($V17),"",OFFSET('Smelter Look-up'!$H$4,$V17-4,0))</f>
        <v>Kokkola</v>
      </c>
      <c r="J17" s="207" t="str">
        <f ca="1">IF(ISERROR($V17),"",OFFSET('Smelter Look-up'!$I$4,$V17-4,0))</f>
        <v>Mellersta Österbotten</v>
      </c>
      <c r="K17" s="150"/>
      <c r="L17" s="150"/>
      <c r="M17" s="150"/>
      <c r="N17" s="150"/>
      <c r="O17" s="150" t="s">
        <v>20080</v>
      </c>
      <c r="P17" s="209"/>
      <c r="Q17" s="151"/>
      <c r="R17" s="149" t="str">
        <f ca="1">IF(ISERROR($V17),"",OFFSET('Smelter Look-up'!$C$4,$V17-4,0)&amp;"")</f>
        <v>Umicore Finland Oy</v>
      </c>
      <c r="S17" s="155" t="str">
        <f t="shared" ca="1" si="3"/>
        <v>FI</v>
      </c>
      <c r="T17" s="155" t="str">
        <f ca="1">IF(B17="","",IF(ISERROR(MATCH($J17,SorP!$B$1:$B$6226,0)),"",INDIRECT("'SorP'!$A$"&amp;MATCH($S17&amp;$J17,SorP!C:C,0))))</f>
        <v>FI-07</v>
      </c>
      <c r="U17" s="168"/>
      <c r="V17" s="169">
        <f ca="1">IF(C17="",NA(),MATCH($B17&amp;$C17,'Smelter Look-up'!$J:$J,0))</f>
        <v>152</v>
      </c>
      <c r="X17" s="170">
        <f t="shared" ca="1" si="4"/>
        <v>0</v>
      </c>
      <c r="AB17" s="314" t="str">
        <f t="shared" ca="1" si="5"/>
        <v>Cobalt</v>
      </c>
    </row>
    <row r="18" spans="1:28" s="170" customFormat="1" ht="25.5">
      <c r="A18" s="198" t="s">
        <v>278</v>
      </c>
      <c r="B18" s="304" t="str">
        <f ca="1">IF(LEN(A18)=0,"",INDEX('Smelter Look-up'!$A:$A,MATCH($A18,'Smelter Look-up'!$E:$E,0)))</f>
        <v>Cobalt</v>
      </c>
      <c r="C18" s="152" t="str">
        <f ca="1">IF(LEN(A18)=0,"",INDEX('Smelter Look-up'!$C:$C,MATCH($A18,'Smelter Look-up'!$E:$E,0)))</f>
        <v>Umicore Olen</v>
      </c>
      <c r="D18" s="149"/>
      <c r="E18" s="149" t="str">
        <f ca="1">IF(ISERROR($V18),"",OFFSET('Smelter Look-up'!$D$4,$V18-4,0)&amp;"")</f>
        <v>BELGIUM</v>
      </c>
      <c r="F18" s="149" t="str">
        <f ca="1">IF(ISERROR($V18),"",OFFSET('Smelter Look-up'!$E$4,$V18-4,0))</f>
        <v>CID003228</v>
      </c>
      <c r="G18" s="149" t="str">
        <f ca="1">IF(C18=$X$4,"Enter smelter details",IF(ISERROR($V18),"",OFFSET('Smelter Look-up'!$F$4,$V18-4,0)))</f>
        <v>RMI</v>
      </c>
      <c r="H18" s="206">
        <f ca="1">IF(ISERROR($V18),"",OFFSET('Smelter Look-up'!$G$4,$V18-4,0))</f>
        <v>0</v>
      </c>
      <c r="I18" s="207" t="str">
        <f ca="1">IF(ISERROR($V18),"",OFFSET('Smelter Look-up'!$H$4,$V18-4,0))</f>
        <v>Olen</v>
      </c>
      <c r="J18" s="207" t="str">
        <f ca="1">IF(ISERROR($V18),"",OFFSET('Smelter Look-up'!$I$4,$V18-4,0))</f>
        <v>Antwerpen</v>
      </c>
      <c r="K18" s="150"/>
      <c r="L18" s="150"/>
      <c r="M18" s="150"/>
      <c r="N18" s="150"/>
      <c r="O18" s="150" t="s">
        <v>20080</v>
      </c>
      <c r="P18" s="209"/>
      <c r="Q18" s="151"/>
      <c r="R18" s="149" t="str">
        <f ca="1">IF(ISERROR($V18),"",OFFSET('Smelter Look-up'!$C$4,$V18-4,0)&amp;"")</f>
        <v>Umicore Olen</v>
      </c>
      <c r="S18" s="155" t="str">
        <f t="shared" ca="1" si="3"/>
        <v>BE</v>
      </c>
      <c r="T18" s="155" t="str">
        <f ca="1">IF(B18="","",IF(ISERROR(MATCH($J18,SorP!$B$1:$B$6226,0)),"",INDIRECT("'SorP'!$A$"&amp;MATCH($S18&amp;$J18,SorP!C:C,0))))</f>
        <v>BE-VAN</v>
      </c>
      <c r="U18" s="168"/>
      <c r="V18" s="169">
        <f ca="1">IF(C18="",NA(),MATCH($B18&amp;$C18,'Smelter Look-up'!$J:$J,0))</f>
        <v>153</v>
      </c>
      <c r="X18" s="170">
        <f t="shared" ca="1" si="4"/>
        <v>0</v>
      </c>
      <c r="AB18" s="314" t="str">
        <f t="shared" ca="1" si="5"/>
        <v>Cobalt</v>
      </c>
    </row>
    <row r="19" spans="1:28" s="170" customFormat="1" ht="76.5">
      <c r="A19" s="198" t="s">
        <v>88</v>
      </c>
      <c r="B19" s="304" t="str">
        <f ca="1">IF(LEN(A19)=0,"",INDEX('Smelter Look-up'!$A:$A,MATCH($A19,'Smelter Look-up'!$E:$E,0)))</f>
        <v>Cobalt</v>
      </c>
      <c r="C19" s="152" t="str">
        <f ca="1">IF(LEN(A19)=0,"",INDEX('Smelter Look-up'!$C:$C,MATCH($A19,'Smelter Look-up'!$E:$E,0)))</f>
        <v>Dynatec Madagascar Company</v>
      </c>
      <c r="D19" s="149"/>
      <c r="E19" s="149" t="str">
        <f ca="1">IF(ISERROR($V19),"",OFFSET('Smelter Look-up'!$D$4,$V19-4,0)&amp;"")</f>
        <v>MADAGASCAR</v>
      </c>
      <c r="F19" s="149" t="str">
        <f ca="1">IF(ISERROR($V19),"",OFFSET('Smelter Look-up'!$E$4,$V19-4,0))</f>
        <v>CID003232</v>
      </c>
      <c r="G19" s="149" t="str">
        <f ca="1">IF(C19=$X$4,"Enter smelter details",IF(ISERROR($V19),"",OFFSET('Smelter Look-up'!$F$4,$V19-4,0)))</f>
        <v>RMI</v>
      </c>
      <c r="H19" s="206">
        <f ca="1">IF(ISERROR($V19),"",OFFSET('Smelter Look-up'!$G$4,$V19-4,0))</f>
        <v>0</v>
      </c>
      <c r="I19" s="207" t="str">
        <f ca="1">IF(ISERROR($V19),"",OFFSET('Smelter Look-up'!$H$4,$V19-4,0))</f>
        <v>Toamasina</v>
      </c>
      <c r="J19" s="207" t="str">
        <f ca="1">IF(ISERROR($V19),"",OFFSET('Smelter Look-up'!$I$4,$V19-4,0))</f>
        <v>Toamasina</v>
      </c>
      <c r="K19" s="150"/>
      <c r="L19" s="150"/>
      <c r="M19" s="150"/>
      <c r="N19" s="150"/>
      <c r="O19" s="150" t="s">
        <v>20080</v>
      </c>
      <c r="P19" s="209"/>
      <c r="Q19" s="151"/>
      <c r="R19" s="149" t="str">
        <f ca="1">IF(ISERROR($V19),"",OFFSET('Smelter Look-up'!$C$4,$V19-4,0)&amp;"")</f>
        <v>Dynatec Madagascar Company</v>
      </c>
      <c r="S19" s="155" t="str">
        <f t="shared" ca="1" si="3"/>
        <v>MG</v>
      </c>
      <c r="T19" s="155" t="str">
        <f ca="1">IF(B19="","",IF(ISERROR(MATCH($J19,SorP!$B$1:$B$6226,0)),"",INDIRECT("'SorP'!$A$"&amp;MATCH($S19&amp;$J19,SorP!C:C,0))))</f>
        <v>MG-A</v>
      </c>
      <c r="U19" s="168"/>
      <c r="V19" s="169">
        <f ca="1">IF(C19="",NA(),MATCH($B19&amp;$C19,'Smelter Look-up'!$J:$J,0))</f>
        <v>21</v>
      </c>
      <c r="X19" s="170">
        <f t="shared" ca="1" si="4"/>
        <v>0</v>
      </c>
      <c r="AB19" s="314" t="str">
        <f t="shared" ca="1" si="5"/>
        <v>Cobalt</v>
      </c>
    </row>
    <row r="20" spans="1:28" s="170" customFormat="1" ht="63.75">
      <c r="A20" s="199" t="s">
        <v>250</v>
      </c>
      <c r="B20" s="304" t="str">
        <f ca="1">IF(LEN(A20)=0,"",INDEX('Smelter Look-up'!$A:$A,MATCH($A20,'Smelter Look-up'!$E:$E,0)))</f>
        <v>Cobalt</v>
      </c>
      <c r="C20" s="152" t="str">
        <f ca="1">IF(LEN(A20)=0,"",INDEX('Smelter Look-up'!$C:$C,MATCH($A20,'Smelter Look-up'!$E:$E,0)))</f>
        <v>Port Colborne Refinery</v>
      </c>
      <c r="D20" s="149"/>
      <c r="E20" s="149" t="str">
        <f ca="1">IF(ISERROR($V20),"",OFFSET('Smelter Look-up'!$D$4,$V20-4,0)&amp;"")</f>
        <v>CANADA</v>
      </c>
      <c r="F20" s="149" t="str">
        <f ca="1">IF(ISERROR($V20),"",OFFSET('Smelter Look-up'!$E$4,$V20-4,0))</f>
        <v>CID003239</v>
      </c>
      <c r="G20" s="149" t="str">
        <f ca="1">IF(C20=$X$4,"Enter smelter details",IF(ISERROR($V20),"",OFFSET('Smelter Look-up'!$F$4,$V20-4,0)))</f>
        <v>RMI</v>
      </c>
      <c r="H20" s="206">
        <f ca="1">IF(ISERROR($V20),"",OFFSET('Smelter Look-up'!$G$4,$V20-4,0))</f>
        <v>0</v>
      </c>
      <c r="I20" s="207" t="str">
        <f ca="1">IF(ISERROR($V20),"",OFFSET('Smelter Look-up'!$H$4,$V20-4,0))</f>
        <v>Port Colborne</v>
      </c>
      <c r="J20" s="207" t="str">
        <f ca="1">IF(ISERROR($V20),"",OFFSET('Smelter Look-up'!$I$4,$V20-4,0))</f>
        <v>Ontario</v>
      </c>
      <c r="K20" s="150"/>
      <c r="L20" s="150"/>
      <c r="M20" s="150"/>
      <c r="N20" s="150"/>
      <c r="O20" s="150" t="s">
        <v>20080</v>
      </c>
      <c r="P20" s="209"/>
      <c r="Q20" s="151"/>
      <c r="R20" s="149" t="str">
        <f ca="1">IF(ISERROR($V20),"",OFFSET('Smelter Look-up'!$C$4,$V20-4,0)&amp;"")</f>
        <v>Port Colborne Refinery</v>
      </c>
      <c r="S20" s="155" t="str">
        <f t="shared" ca="1" si="3"/>
        <v>CA</v>
      </c>
      <c r="T20" s="155" t="str">
        <f ca="1">IF(B20="","",IF(ISERROR(MATCH($J20,SorP!$B$1:$B$6226,0)),"",INDIRECT("'SorP'!$A$"&amp;MATCH($S20&amp;$J20,SorP!C:C,0))))</f>
        <v>CA-ON</v>
      </c>
      <c r="U20" s="168"/>
      <c r="V20" s="169">
        <f ca="1">IF(C20="",NA(),MATCH($B20&amp;$C20,'Smelter Look-up'!$J:$J,0))</f>
        <v>125</v>
      </c>
      <c r="X20" s="170">
        <f t="shared" ca="1" si="4"/>
        <v>0</v>
      </c>
      <c r="AB20" s="314" t="str">
        <f t="shared" ca="1" si="5"/>
        <v>Cobalt</v>
      </c>
    </row>
    <row r="21" spans="1:28" s="170" customFormat="1" ht="89.25">
      <c r="A21" s="198" t="s">
        <v>258</v>
      </c>
      <c r="B21" s="304" t="str">
        <f ca="1">IF(LEN(A21)=0,"",INDEX('Smelter Look-up'!$A:$A,MATCH($A21,'Smelter Look-up'!$E:$E,0)))</f>
        <v>Cobalt</v>
      </c>
      <c r="C21" s="152" t="str">
        <f ca="1">IF(LEN(A21)=0,"",INDEX('Smelter Look-up'!$C:$C,MATCH($A21,'Smelter Look-up'!$E:$E,0)))</f>
        <v>Quzhou Huayou Cobalt New Material Co., Ltd.</v>
      </c>
      <c r="D21" s="149"/>
      <c r="E21" s="149" t="str">
        <f ca="1">IF(ISERROR($V21),"",OFFSET('Smelter Look-up'!$D$4,$V21-4,0)&amp;"")</f>
        <v>CHINA</v>
      </c>
      <c r="F21" s="149" t="str">
        <f ca="1">IF(ISERROR($V21),"",OFFSET('Smelter Look-up'!$E$4,$V21-4,0))</f>
        <v>CID003255</v>
      </c>
      <c r="G21" s="149" t="str">
        <f ca="1">IF(C21=$X$4,"Enter smelter details",IF(ISERROR($V21),"",OFFSET('Smelter Look-up'!$F$4,$V21-4,0)))</f>
        <v>RMI</v>
      </c>
      <c r="H21" s="206">
        <f ca="1">IF(ISERROR($V21),"",OFFSET('Smelter Look-up'!$G$4,$V21-4,0))</f>
        <v>0</v>
      </c>
      <c r="I21" s="207" t="str">
        <f ca="1">IF(ISERROR($V21),"",OFFSET('Smelter Look-up'!$H$4,$V21-4,0))</f>
        <v>Quzhou</v>
      </c>
      <c r="J21" s="207" t="str">
        <f ca="1">IF(ISERROR($V21),"",OFFSET('Smelter Look-up'!$I$4,$V21-4,0))</f>
        <v>Zhejiang Sheng</v>
      </c>
      <c r="K21" s="150"/>
      <c r="L21" s="150"/>
      <c r="M21" s="150"/>
      <c r="N21" s="150"/>
      <c r="O21" s="150" t="s">
        <v>20080</v>
      </c>
      <c r="P21" s="209"/>
      <c r="Q21" s="151"/>
      <c r="R21" s="149" t="str">
        <f ca="1">IF(ISERROR($V21),"",OFFSET('Smelter Look-up'!$C$4,$V21-4,0)&amp;"")</f>
        <v>Quzhou Huayou Cobalt New Material Co., Ltd.</v>
      </c>
      <c r="S21" s="155" t="str">
        <f t="shared" ca="1" si="3"/>
        <v>CN</v>
      </c>
      <c r="T21" s="155" t="str">
        <f ca="1">IF(B21="","",IF(ISERROR(MATCH($J21,SorP!$B$1:$B$6226,0)),"",INDIRECT("'SorP'!$A$"&amp;MATCH($S21&amp;$J21,SorP!C:C,0))))</f>
        <v>CN-ZJ</v>
      </c>
      <c r="U21" s="168"/>
      <c r="V21" s="169">
        <f ca="1">IF(C21="",NA(),MATCH($B21&amp;$C21,'Smelter Look-up'!$J:$J,0))</f>
        <v>133</v>
      </c>
      <c r="X21" s="170">
        <f t="shared" ca="1" si="4"/>
        <v>0</v>
      </c>
      <c r="AB21" s="314" t="str">
        <f t="shared" ca="1" si="5"/>
        <v>Cobalt</v>
      </c>
    </row>
    <row r="22" spans="1:28" s="170" customFormat="1" ht="51">
      <c r="A22" s="198" t="s">
        <v>178</v>
      </c>
      <c r="B22" s="304" t="str">
        <f ca="1">IF(LEN(A22)=0,"",INDEX('Smelter Look-up'!$A:$A,MATCH($A22,'Smelter Look-up'!$E:$E,0)))</f>
        <v>Cobalt</v>
      </c>
      <c r="C22" s="152" t="str">
        <f ca="1">IF(LEN(A22)=0,"",INDEX('Smelter Look-up'!$C:$C,MATCH($A22,'Smelter Look-up'!$E:$E,0)))</f>
        <v>Kamoto Copper Company</v>
      </c>
      <c r="D22" s="149"/>
      <c r="E22" s="149" t="str">
        <f ca="1">IF(ISERROR($V22),"",OFFSET('Smelter Look-up'!$D$4,$V22-4,0)&amp;"")</f>
        <v>CONGO, DEMOCRATIC REPUBLIC OF THE</v>
      </c>
      <c r="F22" s="149" t="str">
        <f ca="1">IF(ISERROR($V22),"",OFFSET('Smelter Look-up'!$E$4,$V22-4,0))</f>
        <v>CID003261</v>
      </c>
      <c r="G22" s="149" t="str">
        <f ca="1">IF(C22=$X$4,"Enter smelter details",IF(ISERROR($V22),"",OFFSET('Smelter Look-up'!$F$4,$V22-4,0)))</f>
        <v>RMI</v>
      </c>
      <c r="H22" s="206">
        <f ca="1">IF(ISERROR($V22),"",OFFSET('Smelter Look-up'!$G$4,$V22-4,0))</f>
        <v>0</v>
      </c>
      <c r="I22" s="207" t="str">
        <f ca="1">IF(ISERROR($V22),"",OFFSET('Smelter Look-up'!$H$4,$V22-4,0))</f>
        <v>Kolwezi</v>
      </c>
      <c r="J22" s="207" t="str">
        <f ca="1">IF(ISERROR($V22),"",OFFSET('Smelter Look-up'!$I$4,$V22-4,0))</f>
        <v>Lualaba</v>
      </c>
      <c r="K22" s="150"/>
      <c r="L22" s="150"/>
      <c r="M22" s="150"/>
      <c r="N22" s="150"/>
      <c r="O22" s="150" t="s">
        <v>20080</v>
      </c>
      <c r="P22" s="209"/>
      <c r="Q22" s="151"/>
      <c r="R22" s="149" t="str">
        <f ca="1">IF(ISERROR($V22),"",OFFSET('Smelter Look-up'!$C$4,$V22-4,0)&amp;"")</f>
        <v>Kamoto Copper Company</v>
      </c>
      <c r="S22" s="155" t="str">
        <f t="shared" ca="1" si="3"/>
        <v>CD</v>
      </c>
      <c r="T22" s="155" t="str">
        <f ca="1">IF(B22="","",IF(ISERROR(MATCH($J22,SorP!$B$1:$B$6226,0)),"",INDIRECT("'SorP'!$A$"&amp;MATCH($S22&amp;$J22,SorP!C:C,0))))</f>
        <v>CD-LU</v>
      </c>
      <c r="U22" s="168"/>
      <c r="V22" s="169">
        <f ca="1">IF(C22="",NA(),MATCH($B22&amp;$C22,'Smelter Look-up'!$J:$J,0))</f>
        <v>76</v>
      </c>
      <c r="X22" s="170">
        <f t="shared" ca="1" si="4"/>
        <v>0</v>
      </c>
      <c r="AB22" s="314" t="str">
        <f t="shared" ca="1" si="5"/>
        <v>Cobalt</v>
      </c>
    </row>
    <row r="23" spans="1:28" s="170" customFormat="1" ht="25.5">
      <c r="A23" s="198" t="s">
        <v>61</v>
      </c>
      <c r="B23" s="304" t="str">
        <f ca="1">IF(LEN(A23)=0,"",INDEX('Smelter Look-up'!$A:$A,MATCH($A23,'Smelter Look-up'!$E:$E,0)))</f>
        <v>Cobalt</v>
      </c>
      <c r="C23" s="152" t="str">
        <f ca="1">IF(LEN(A23)=0,"",INDEX('Smelter Look-up'!$C:$C,MATCH($A23,'Smelter Look-up'!$E:$E,0)))</f>
        <v>Chemaf Etoile</v>
      </c>
      <c r="D23" s="149"/>
      <c r="E23" s="149" t="str">
        <f ca="1">IF(ISERROR($V23),"",OFFSET('Smelter Look-up'!$D$4,$V23-4,0)&amp;"")</f>
        <v>CONGO, DEMOCRATIC REPUBLIC OF THE</v>
      </c>
      <c r="F23" s="149" t="str">
        <f ca="1">IF(ISERROR($V23),"",OFFSET('Smelter Look-up'!$E$4,$V23-4,0))</f>
        <v>CID003264</v>
      </c>
      <c r="G23" s="149" t="str">
        <f ca="1">IF(C23=$X$4,"Enter smelter details",IF(ISERROR($V23),"",OFFSET('Smelter Look-up'!$F$4,$V23-4,0)))</f>
        <v>RMI</v>
      </c>
      <c r="H23" s="206">
        <f ca="1">IF(ISERROR($V23),"",OFFSET('Smelter Look-up'!$G$4,$V23-4,0))</f>
        <v>0</v>
      </c>
      <c r="I23" s="207" t="str">
        <f ca="1">IF(ISERROR($V23),"",OFFSET('Smelter Look-up'!$H$4,$V23-4,0))</f>
        <v>Lubumbashi</v>
      </c>
      <c r="J23" s="207" t="str">
        <f ca="1">IF(ISERROR($V23),"",OFFSET('Smelter Look-up'!$I$4,$V23-4,0))</f>
        <v>Haut-Katanga</v>
      </c>
      <c r="K23" s="150"/>
      <c r="L23" s="150"/>
      <c r="M23" s="150"/>
      <c r="N23" s="150"/>
      <c r="O23" s="150" t="s">
        <v>20080</v>
      </c>
      <c r="P23" s="209"/>
      <c r="Q23" s="151"/>
      <c r="R23" s="149" t="str">
        <f ca="1">IF(ISERROR($V23),"",OFFSET('Smelter Look-up'!$C$4,$V23-4,0)&amp;"")</f>
        <v>Chemaf Etoile</v>
      </c>
      <c r="S23" s="155" t="str">
        <f t="shared" ca="1" si="3"/>
        <v>CD</v>
      </c>
      <c r="T23" s="155" t="str">
        <f ca="1">IF(B23="","",IF(ISERROR(MATCH($J23,SorP!$B$1:$B$6226,0)),"",INDIRECT("'SorP'!$A$"&amp;MATCH($S23&amp;$J23,SorP!C:C,0))))</f>
        <v>CD-HK</v>
      </c>
      <c r="U23" s="168"/>
      <c r="V23" s="169">
        <f ca="1">IF(C23="",NA(),MATCH($B23&amp;$C23,'Smelter Look-up'!$J:$J,0))</f>
        <v>7</v>
      </c>
      <c r="X23" s="170">
        <f t="shared" ca="1" si="4"/>
        <v>0</v>
      </c>
      <c r="AB23" s="314" t="str">
        <f t="shared" ca="1" si="5"/>
        <v>Cobalt</v>
      </c>
    </row>
    <row r="24" spans="1:28" s="170" customFormat="1" ht="114.75">
      <c r="A24" s="155" t="s">
        <v>266</v>
      </c>
      <c r="B24" s="304" t="str">
        <f ca="1">IF(LEN(A24)=0,"",INDEX('Smelter Look-up'!$A:$A,MATCH($A24,'Smelter Look-up'!$E:$E,0)))</f>
        <v>Cobalt</v>
      </c>
      <c r="C24" s="152" t="str">
        <f ca="1">IF(LEN(A24)=0,"",INDEX('Smelter Look-up'!$C:$C,MATCH($A24,'Smelter Look-up'!$E:$E,0)))</f>
        <v>Societe pour le Traitment du Terril de Lubumbashi (STL)</v>
      </c>
      <c r="D24" s="149"/>
      <c r="E24" s="149" t="str">
        <f ca="1">IF(ISERROR($V24),"",OFFSET('Smelter Look-up'!$D$4,$V24-4,0)&amp;"")</f>
        <v>CONGO, DEMOCRATIC REPUBLIC OF THE</v>
      </c>
      <c r="F24" s="149" t="str">
        <f ca="1">IF(ISERROR($V24),"",OFFSET('Smelter Look-up'!$E$4,$V24-4,0))</f>
        <v>CID003266</v>
      </c>
      <c r="G24" s="149" t="str">
        <f ca="1">IF(C24=$X$4,"Enter smelter details",IF(ISERROR($V24),"",OFFSET('Smelter Look-up'!$F$4,$V24-4,0)))</f>
        <v>RMI</v>
      </c>
      <c r="H24" s="206">
        <f ca="1">IF(ISERROR($V24),"",OFFSET('Smelter Look-up'!$G$4,$V24-4,0))</f>
        <v>0</v>
      </c>
      <c r="I24" s="207" t="str">
        <f ca="1">IF(ISERROR($V24),"",OFFSET('Smelter Look-up'!$H$4,$V24-4,0))</f>
        <v>Lubumbashi</v>
      </c>
      <c r="J24" s="207" t="str">
        <f ca="1">IF(ISERROR($V24),"",OFFSET('Smelter Look-up'!$I$4,$V24-4,0))</f>
        <v>Haut-Katanga</v>
      </c>
      <c r="K24" s="150"/>
      <c r="L24" s="150"/>
      <c r="M24" s="150"/>
      <c r="N24" s="150"/>
      <c r="O24" s="150" t="s">
        <v>20080</v>
      </c>
      <c r="P24" s="209"/>
      <c r="Q24" s="151"/>
      <c r="R24" s="149" t="str">
        <f ca="1">IF(ISERROR($V24),"",OFFSET('Smelter Look-up'!$C$4,$V24-4,0)&amp;"")</f>
        <v>Societe pour le Traitment du Terril de Lubumbashi (STL)</v>
      </c>
      <c r="S24" s="155" t="str">
        <f t="shared" ca="1" si="3"/>
        <v>CD</v>
      </c>
      <c r="T24" s="155" t="str">
        <f ca="1">IF(B24="","",IF(ISERROR(MATCH($J24,SorP!$B$1:$B$6226,0)),"",INDIRECT("'SorP'!$A$"&amp;MATCH($S24&amp;$J24,SorP!C:C,0))))</f>
        <v>CD-HK</v>
      </c>
      <c r="U24" s="168"/>
      <c r="V24" s="169">
        <f ca="1">IF(C24="",NA(),MATCH($B24&amp;$C24,'Smelter Look-up'!$J:$J,0))</f>
        <v>141</v>
      </c>
      <c r="X24" s="170">
        <f t="shared" ca="1" si="4"/>
        <v>0</v>
      </c>
      <c r="AB24" s="314" t="str">
        <f t="shared" ca="1" si="5"/>
        <v>Cobalt</v>
      </c>
    </row>
    <row r="25" spans="1:28" s="170" customFormat="1" ht="153">
      <c r="A25" s="155" t="s">
        <v>183</v>
      </c>
      <c r="B25" s="304" t="str">
        <f ca="1">IF(LEN(A25)=0,"",INDEX('Smelter Look-up'!$A:$A,MATCH($A25,'Smelter Look-up'!$E:$E,0)))</f>
        <v>Cobalt</v>
      </c>
      <c r="C25" s="152" t="str">
        <f ca="1">IF(LEN(A25)=0,"",INDEX('Smelter Look-up'!$C:$C,MATCH($A25,'Smelter Look-up'!$E:$E,0)))</f>
        <v>La Compagnie de Traitement des Rejets de Kingamyambo S.A. (Metalkol S.A.)</v>
      </c>
      <c r="D25" s="149"/>
      <c r="E25" s="149" t="str">
        <f ca="1">IF(ISERROR($V25),"",OFFSET('Smelter Look-up'!$D$4,$V25-4,0)&amp;"")</f>
        <v>CONGO, DEMOCRATIC REPUBLIC OF THE</v>
      </c>
      <c r="F25" s="149" t="str">
        <f ca="1">IF(ISERROR($V25),"",OFFSET('Smelter Look-up'!$E$4,$V25-4,0))</f>
        <v>CID003275</v>
      </c>
      <c r="G25" s="149" t="str">
        <f ca="1">IF(C25=$X$4,"Enter smelter details",IF(ISERROR($V25),"",OFFSET('Smelter Look-up'!$F$4,$V25-4,0)))</f>
        <v>RMI</v>
      </c>
      <c r="H25" s="206">
        <f ca="1">IF(ISERROR($V25),"",OFFSET('Smelter Look-up'!$G$4,$V25-4,0))</f>
        <v>0</v>
      </c>
      <c r="I25" s="207" t="str">
        <f ca="1">IF(ISERROR($V25),"",OFFSET('Smelter Look-up'!$H$4,$V25-4,0))</f>
        <v>Lubumbashi</v>
      </c>
      <c r="J25" s="207" t="str">
        <f ca="1">IF(ISERROR($V25),"",OFFSET('Smelter Look-up'!$I$4,$V25-4,0))</f>
        <v>Haut-Katanga</v>
      </c>
      <c r="K25" s="150"/>
      <c r="L25" s="150"/>
      <c r="M25" s="150"/>
      <c r="N25" s="150"/>
      <c r="O25" s="150" t="s">
        <v>20080</v>
      </c>
      <c r="P25" s="209"/>
      <c r="Q25" s="151"/>
      <c r="R25" s="149" t="str">
        <f ca="1">IF(ISERROR($V25),"",OFFSET('Smelter Look-up'!$C$4,$V25-4,0)&amp;"")</f>
        <v>La Compagnie de Traitement des Rejets de Kingamyambo S.A. (Metalkol S.A.)</v>
      </c>
      <c r="S25" s="155" t="str">
        <f t="shared" ca="1" si="3"/>
        <v>CD</v>
      </c>
      <c r="T25" s="155" t="str">
        <f ca="1">IF(B25="","",IF(ISERROR(MATCH($J25,SorP!$B$1:$B$6226,0)),"",INDIRECT("'SorP'!$A$"&amp;MATCH($S25&amp;$J25,SorP!C:C,0))))</f>
        <v>CD-HK</v>
      </c>
      <c r="U25" s="168"/>
      <c r="V25" s="169">
        <f ca="1">IF(C25="",NA(),MATCH($B25&amp;$C25,'Smelter Look-up'!$J:$J,0))</f>
        <v>84</v>
      </c>
      <c r="X25" s="170">
        <f t="shared" ca="1" si="4"/>
        <v>0</v>
      </c>
      <c r="AB25" s="314" t="str">
        <f t="shared" ca="1" si="5"/>
        <v>Cobalt</v>
      </c>
    </row>
    <row r="26" spans="1:28" s="170" customFormat="1" ht="102">
      <c r="A26" s="155" t="s">
        <v>239</v>
      </c>
      <c r="B26" s="304" t="str">
        <f ca="1">IF(LEN(A26)=0,"",INDEX('Smelter Look-up'!$A:$A,MATCH($A26,'Smelter Look-up'!$E:$E,0)))</f>
        <v>Cobalt</v>
      </c>
      <c r="C26" s="152" t="str">
        <f ca="1">IF(LEN(A26)=0,"",INDEX('Smelter Look-up'!$C:$C,MATCH($A26,'Smelter Look-up'!$E:$E,0)))</f>
        <v>Niihama Nickel Refinery, Sumitomo Metal Mining</v>
      </c>
      <c r="D26" s="149"/>
      <c r="E26" s="149" t="str">
        <f ca="1">IF(ISERROR($V26),"",OFFSET('Smelter Look-up'!$D$4,$V26-4,0)&amp;"")</f>
        <v>JAPAN</v>
      </c>
      <c r="F26" s="149" t="str">
        <f ca="1">IF(ISERROR($V26),"",OFFSET('Smelter Look-up'!$E$4,$V26-4,0))</f>
        <v>CID003278</v>
      </c>
      <c r="G26" s="149" t="str">
        <f ca="1">IF(C26=$X$4,"Enter smelter details",IF(ISERROR($V26),"",OFFSET('Smelter Look-up'!$F$4,$V26-4,0)))</f>
        <v>RMI</v>
      </c>
      <c r="H26" s="206">
        <f ca="1">IF(ISERROR($V26),"",OFFSET('Smelter Look-up'!$G$4,$V26-4,0))</f>
        <v>0</v>
      </c>
      <c r="I26" s="207" t="str">
        <f ca="1">IF(ISERROR($V26),"",OFFSET('Smelter Look-up'!$H$4,$V26-4,0))</f>
        <v>Niihama</v>
      </c>
      <c r="J26" s="207" t="str">
        <f ca="1">IF(ISERROR($V26),"",OFFSET('Smelter Look-up'!$I$4,$V26-4,0))</f>
        <v>Ehime</v>
      </c>
      <c r="K26" s="150"/>
      <c r="L26" s="150"/>
      <c r="M26" s="150"/>
      <c r="N26" s="150"/>
      <c r="O26" s="150" t="s">
        <v>20080</v>
      </c>
      <c r="P26" s="209"/>
      <c r="Q26" s="151"/>
      <c r="R26" s="149" t="str">
        <f ca="1">IF(ISERROR($V26),"",OFFSET('Smelter Look-up'!$C$4,$V26-4,0)&amp;"")</f>
        <v>Niihama Nickel Refinery, Sumitomo Metal Mining</v>
      </c>
      <c r="S26" s="155" t="str">
        <f t="shared" ca="1" si="3"/>
        <v>JP</v>
      </c>
      <c r="T26" s="155" t="str">
        <f ca="1">IF(B26="","",IF(ISERROR(MATCH($J26,SorP!$B$1:$B$6226,0)),"",INDIRECT("'SorP'!$A$"&amp;MATCH($S26&amp;$J26,SorP!C:C,0))))</f>
        <v>JP-38</v>
      </c>
      <c r="U26" s="168"/>
      <c r="V26" s="169">
        <f ca="1">IF(C26="",NA(),MATCH($B26&amp;$C26,'Smelter Look-up'!$J:$J,0))</f>
        <v>122</v>
      </c>
      <c r="X26" s="170">
        <f t="shared" ca="1" si="4"/>
        <v>0</v>
      </c>
      <c r="AB26" s="314" t="str">
        <f t="shared" ca="1" si="5"/>
        <v>Cobalt</v>
      </c>
    </row>
    <row r="27" spans="1:28" s="170" customFormat="1" ht="63.75">
      <c r="A27" s="155" t="s">
        <v>72</v>
      </c>
      <c r="B27" s="304" t="str">
        <f ca="1">IF(LEN(A27)=0,"",INDEX('Smelter Look-up'!$A:$A,MATCH($A27,'Smelter Look-up'!$E:$E,0)))</f>
        <v>Cobalt</v>
      </c>
      <c r="C27" s="152" t="str">
        <f ca="1">IF(LEN(A27)=0,"",INDEX('Smelter Look-up'!$C:$C,MATCH($A27,'Smelter Look-up'!$E:$E,0)))</f>
        <v>Compagnie de Tifnout Tiranimine</v>
      </c>
      <c r="D27" s="149"/>
      <c r="E27" s="149" t="str">
        <f ca="1">IF(ISERROR($V27),"",OFFSET('Smelter Look-up'!$D$4,$V27-4,0)&amp;"")</f>
        <v>MOROCCO</v>
      </c>
      <c r="F27" s="149" t="str">
        <f ca="1">IF(ISERROR($V27),"",OFFSET('Smelter Look-up'!$E$4,$V27-4,0))</f>
        <v>CID003280</v>
      </c>
      <c r="G27" s="149" t="str">
        <f ca="1">IF(C27=$X$4,"Enter smelter details",IF(ISERROR($V27),"",OFFSET('Smelter Look-up'!$F$4,$V27-4,0)))</f>
        <v>RMI</v>
      </c>
      <c r="H27" s="206">
        <f ca="1">IF(ISERROR($V27),"",OFFSET('Smelter Look-up'!$G$4,$V27-4,0))</f>
        <v>0</v>
      </c>
      <c r="I27" s="207" t="str">
        <f ca="1">IF(ISERROR($V27),"",OFFSET('Smelter Look-up'!$H$4,$V27-4,0))</f>
        <v>Marrakech</v>
      </c>
      <c r="J27" s="207" t="str">
        <f ca="1">IF(ISERROR($V27),"",OFFSET('Smelter Look-up'!$I$4,$V27-4,0))</f>
        <v>Marrakech-Safi</v>
      </c>
      <c r="K27" s="150"/>
      <c r="L27" s="150"/>
      <c r="M27" s="150"/>
      <c r="N27" s="150"/>
      <c r="O27" s="150" t="s">
        <v>20080</v>
      </c>
      <c r="P27" s="209"/>
      <c r="Q27" s="151"/>
      <c r="R27" s="149" t="str">
        <f ca="1">IF(ISERROR($V27),"",OFFSET('Smelter Look-up'!$C$4,$V27-4,0)&amp;"")</f>
        <v>Compagnie de Tifnout Tiranimine</v>
      </c>
      <c r="S27" s="155" t="str">
        <f t="shared" ca="1" si="3"/>
        <v>MA</v>
      </c>
      <c r="T27" s="155" t="str">
        <f ca="1">IF(B27="","",IF(ISERROR(MATCH($J27,SorP!$B$1:$B$6226,0)),"",INDIRECT("'SorP'!$A$"&amp;MATCH($S27&amp;$J27,SorP!C:C,0))))</f>
        <v>MA-07</v>
      </c>
      <c r="U27" s="168"/>
      <c r="V27" s="169">
        <f ca="1">IF(C27="",NA(),MATCH($B27&amp;$C27,'Smelter Look-up'!$J:$J,0))</f>
        <v>12</v>
      </c>
      <c r="X27" s="170">
        <f t="shared" ca="1" si="4"/>
        <v>0</v>
      </c>
      <c r="AB27" s="314" t="str">
        <f t="shared" ca="1" si="5"/>
        <v>Cobalt</v>
      </c>
    </row>
    <row r="28" spans="1:28" s="170" customFormat="1" ht="102">
      <c r="A28" s="155" t="s">
        <v>120</v>
      </c>
      <c r="B28" s="304" t="str">
        <f ca="1">IF(LEN(A28)=0,"",INDEX('Smelter Look-up'!$A:$A,MATCH($A28,'Smelter Look-up'!$E:$E,0)))</f>
        <v>Cobalt</v>
      </c>
      <c r="C28" s="152" t="str">
        <f ca="1">IF(LEN(A28)=0,"",INDEX('Smelter Look-up'!$C:$C,MATCH($A28,'Smelter Look-up'!$E:$E,0)))</f>
        <v>Guangdong Jiana Energy Technology Co., Ltd.</v>
      </c>
      <c r="D28" s="149"/>
      <c r="E28" s="149" t="str">
        <f ca="1">IF(ISERROR($V28),"",OFFSET('Smelter Look-up'!$D$4,$V28-4,0)&amp;"")</f>
        <v>CHINA</v>
      </c>
      <c r="F28" s="149" t="str">
        <f ca="1">IF(ISERROR($V28),"",OFFSET('Smelter Look-up'!$E$4,$V28-4,0))</f>
        <v>CID003291</v>
      </c>
      <c r="G28" s="149" t="str">
        <f ca="1">IF(C28=$X$4,"Enter smelter details",IF(ISERROR($V28),"",OFFSET('Smelter Look-up'!$F$4,$V28-4,0)))</f>
        <v>RMI</v>
      </c>
      <c r="H28" s="206">
        <f ca="1">IF(ISERROR($V28),"",OFFSET('Smelter Look-up'!$G$4,$V28-4,0))</f>
        <v>0</v>
      </c>
      <c r="I28" s="207" t="str">
        <f ca="1">IF(ISERROR($V28),"",OFFSET('Smelter Look-up'!$H$4,$V28-4,0))</f>
        <v>Guangzhou</v>
      </c>
      <c r="J28" s="207" t="str">
        <f ca="1">IF(ISERROR($V28),"",OFFSET('Smelter Look-up'!$I$4,$V28-4,0))</f>
        <v>Guangdong Sheng</v>
      </c>
      <c r="K28" s="150"/>
      <c r="L28" s="150"/>
      <c r="M28" s="150"/>
      <c r="N28" s="150"/>
      <c r="O28" s="150" t="s">
        <v>20080</v>
      </c>
      <c r="P28" s="209"/>
      <c r="Q28" s="151"/>
      <c r="R28" s="149" t="str">
        <f ca="1">IF(ISERROR($V28),"",OFFSET('Smelter Look-up'!$C$4,$V28-4,0)&amp;"")</f>
        <v>Guangdong Jiana Energy Technology Co., Ltd.</v>
      </c>
      <c r="S28" s="155" t="str">
        <f t="shared" ca="1" si="3"/>
        <v>CN</v>
      </c>
      <c r="T28" s="155" t="str">
        <f ca="1">IF(B28="","",IF(ISERROR(MATCH($J28,SorP!$B$1:$B$6226,0)),"",INDIRECT("'SorP'!$A$"&amp;MATCH($S28&amp;$J28,SorP!C:C,0))))</f>
        <v>CN-GD</v>
      </c>
      <c r="U28" s="168"/>
      <c r="V28" s="169">
        <f ca="1">IF(C28="",NA(),MATCH($B28&amp;$C28,'Smelter Look-up'!$J:$J,0))</f>
        <v>40</v>
      </c>
      <c r="X28" s="170">
        <f t="shared" ca="1" si="4"/>
        <v>0</v>
      </c>
      <c r="AB28" s="314" t="str">
        <f t="shared" ca="1" si="5"/>
        <v>Cobalt</v>
      </c>
    </row>
    <row r="29" spans="1:28" s="170" customFormat="1" ht="89.25">
      <c r="A29" s="155" t="s">
        <v>164</v>
      </c>
      <c r="B29" s="304" t="str">
        <f ca="1">IF(LEN(A29)=0,"",INDEX('Smelter Look-up'!$A:$A,MATCH($A29,'Smelter Look-up'!$E:$E,0)))</f>
        <v>Cobalt</v>
      </c>
      <c r="C29" s="152" t="str">
        <f ca="1">IF(LEN(A29)=0,"",INDEX('Smelter Look-up'!$C:$C,MATCH($A29,'Smelter Look-up'!$E:$E,0)))</f>
        <v>Jiangsu Xiongfeng Technology Co., Ltd.</v>
      </c>
      <c r="D29" s="149"/>
      <c r="E29" s="149" t="str">
        <f ca="1">IF(ISERROR($V29),"",OFFSET('Smelter Look-up'!$D$4,$V29-4,0)&amp;"")</f>
        <v>CHINA</v>
      </c>
      <c r="F29" s="149" t="str">
        <f ca="1">IF(ISERROR($V29),"",OFFSET('Smelter Look-up'!$E$4,$V29-4,0))</f>
        <v>CID003293</v>
      </c>
      <c r="G29" s="149" t="str">
        <f ca="1">IF(C29=$X$4,"Enter smelter details",IF(ISERROR($V29),"",OFFSET('Smelter Look-up'!$F$4,$V29-4,0)))</f>
        <v>RMI</v>
      </c>
      <c r="H29" s="206">
        <f ca="1">IF(ISERROR($V29),"",OFFSET('Smelter Look-up'!$G$4,$V29-4,0))</f>
        <v>0</v>
      </c>
      <c r="I29" s="207" t="str">
        <f ca="1">IF(ISERROR($V29),"",OFFSET('Smelter Look-up'!$H$4,$V29-4,0))</f>
        <v>Haimen</v>
      </c>
      <c r="J29" s="207" t="str">
        <f ca="1">IF(ISERROR($V29),"",OFFSET('Smelter Look-up'!$I$4,$V29-4,0))</f>
        <v>Jiangsu Sheng</v>
      </c>
      <c r="K29" s="150"/>
      <c r="L29" s="150"/>
      <c r="M29" s="150"/>
      <c r="N29" s="150"/>
      <c r="O29" s="150" t="s">
        <v>20080</v>
      </c>
      <c r="P29" s="209"/>
      <c r="Q29" s="151"/>
      <c r="R29" s="149" t="str">
        <f ca="1">IF(ISERROR($V29),"",OFFSET('Smelter Look-up'!$C$4,$V29-4,0)&amp;"")</f>
        <v>Jiangsu Xiongfeng Technology Co., Ltd.</v>
      </c>
      <c r="S29" s="155" t="str">
        <f t="shared" ca="1" si="3"/>
        <v>CN</v>
      </c>
      <c r="T29" s="155" t="str">
        <f ca="1">IF(B29="","",IF(ISERROR(MATCH($J29,SorP!$B$1:$B$6226,0)),"",INDIRECT("'SorP'!$A$"&amp;MATCH($S29&amp;$J29,SorP!C:C,0))))</f>
        <v>CN-JS</v>
      </c>
      <c r="U29" s="168"/>
      <c r="V29" s="169">
        <f ca="1">IF(C29="",NA(),MATCH($B29&amp;$C29,'Smelter Look-up'!$J:$J,0))</f>
        <v>68</v>
      </c>
      <c r="X29" s="170">
        <f t="shared" ca="1" si="4"/>
        <v>0</v>
      </c>
      <c r="AB29" s="314" t="str">
        <f t="shared" ca="1" si="5"/>
        <v>Cobalt</v>
      </c>
    </row>
    <row r="30" spans="1:28" s="170" customFormat="1" ht="63.75">
      <c r="A30" s="155" t="s">
        <v>269</v>
      </c>
      <c r="B30" s="304" t="str">
        <f ca="1">IF(LEN(A30)=0,"",INDEX('Smelter Look-up'!$A:$A,MATCH($A30,'Smelter Look-up'!$E:$E,0)))</f>
        <v>Cobalt</v>
      </c>
      <c r="C30" s="152" t="str">
        <f ca="1">IF(LEN(A30)=0,"",INDEX('Smelter Look-up'!$C:$C,MATCH($A30,'Smelter Look-up'!$E:$E,0)))</f>
        <v>SungEel HiTech Co., Ltd.</v>
      </c>
      <c r="D30" s="149"/>
      <c r="E30" s="149" t="str">
        <f ca="1">IF(ISERROR($V30),"",OFFSET('Smelter Look-up'!$D$4,$V30-4,0)&amp;"")</f>
        <v>KOREA, REPUBLIC OF</v>
      </c>
      <c r="F30" s="149" t="str">
        <f ca="1">IF(ISERROR($V30),"",OFFSET('Smelter Look-up'!$E$4,$V30-4,0))</f>
        <v>CID003338</v>
      </c>
      <c r="G30" s="149" t="str">
        <f ca="1">IF(C30=$X$4,"Enter smelter details",IF(ISERROR($V30),"",OFFSET('Smelter Look-up'!$F$4,$V30-4,0)))</f>
        <v>RMI</v>
      </c>
      <c r="H30" s="206">
        <f ca="1">IF(ISERROR($V30),"",OFFSET('Smelter Look-up'!$G$4,$V30-4,0))</f>
        <v>0</v>
      </c>
      <c r="I30" s="207" t="str">
        <f ca="1">IF(ISERROR($V30),"",OFFSET('Smelter Look-up'!$H$4,$V30-4,0))</f>
        <v>Gunsan-si</v>
      </c>
      <c r="J30" s="207" t="str">
        <f ca="1">IF(ISERROR($V30),"",OFFSET('Smelter Look-up'!$I$4,$V30-4,0))</f>
        <v>Jeollabuk-do</v>
      </c>
      <c r="K30" s="150"/>
      <c r="L30" s="150"/>
      <c r="M30" s="150"/>
      <c r="N30" s="150"/>
      <c r="O30" s="150" t="s">
        <v>20080</v>
      </c>
      <c r="P30" s="209"/>
      <c r="Q30" s="151"/>
      <c r="R30" s="149" t="str">
        <f ca="1">IF(ISERROR($V30),"",OFFSET('Smelter Look-up'!$C$4,$V30-4,0)&amp;"")</f>
        <v>SungEel HiTech Co., Ltd.</v>
      </c>
      <c r="S30" s="155" t="str">
        <f t="shared" ca="1" si="3"/>
        <v>KR</v>
      </c>
      <c r="T30" s="155" t="str">
        <f ca="1">IF(B30="","",IF(ISERROR(MATCH($J30,SorP!$B$1:$B$6226,0)),"",INDIRECT("'SorP'!$A$"&amp;MATCH($S30&amp;$J30,SorP!C:C,0))))</f>
        <v>KR-45</v>
      </c>
      <c r="U30" s="168"/>
      <c r="V30" s="169">
        <f ca="1">IF(C30="",NA(),MATCH($B30&amp;$C30,'Smelter Look-up'!$J:$J,0))</f>
        <v>144</v>
      </c>
      <c r="X30" s="170">
        <f t="shared" ca="1" si="4"/>
        <v>0</v>
      </c>
      <c r="AB30" s="314" t="str">
        <f t="shared" ca="1" si="5"/>
        <v>Cobalt</v>
      </c>
    </row>
    <row r="31" spans="1:28" s="170" customFormat="1" ht="89.25">
      <c r="A31" s="155" t="s">
        <v>166</v>
      </c>
      <c r="B31" s="304" t="str">
        <f ca="1">IF(LEN(A31)=0,"",INDEX('Smelter Look-up'!$A:$A,MATCH($A31,'Smelter Look-up'!$E:$E,0)))</f>
        <v>Cobalt</v>
      </c>
      <c r="C31" s="152" t="str">
        <f ca="1">IF(LEN(A31)=0,"",INDEX('Smelter Look-up'!$C:$C,MATCH($A31,'Smelter Look-up'!$E:$E,0)))</f>
        <v>Jiangxi Jiangwu Cobalt Industrial Co., Ltd.</v>
      </c>
      <c r="D31" s="149"/>
      <c r="E31" s="149" t="str">
        <f ca="1">IF(ISERROR($V31),"",OFFSET('Smelter Look-up'!$D$4,$V31-4,0)&amp;"")</f>
        <v>CHINA</v>
      </c>
      <c r="F31" s="149" t="str">
        <f ca="1">IF(ISERROR($V31),"",OFFSET('Smelter Look-up'!$E$4,$V31-4,0))</f>
        <v>CID003377</v>
      </c>
      <c r="G31" s="149" t="str">
        <f ca="1">IF(C31=$X$4,"Enter smelter details",IF(ISERROR($V31),"",OFFSET('Smelter Look-up'!$F$4,$V31-4,0)))</f>
        <v>RMI</v>
      </c>
      <c r="H31" s="206">
        <f ca="1">IF(ISERROR($V31),"",OFFSET('Smelter Look-up'!$G$4,$V31-4,0))</f>
        <v>0</v>
      </c>
      <c r="I31" s="207" t="str">
        <f ca="1">IF(ISERROR($V31),"",OFFSET('Smelter Look-up'!$H$4,$V31-4,0))</f>
        <v>Ganzhou</v>
      </c>
      <c r="J31" s="207" t="str">
        <f ca="1">IF(ISERROR($V31),"",OFFSET('Smelter Look-up'!$I$4,$V31-4,0))</f>
        <v>Jiangxi Sheng</v>
      </c>
      <c r="K31" s="150"/>
      <c r="L31" s="150"/>
      <c r="M31" s="150"/>
      <c r="N31" s="150"/>
      <c r="O31" s="150" t="s">
        <v>20080</v>
      </c>
      <c r="P31" s="209"/>
      <c r="Q31" s="151"/>
      <c r="R31" s="149" t="str">
        <f ca="1">IF(ISERROR($V31),"",OFFSET('Smelter Look-up'!$C$4,$V31-4,0)&amp;"")</f>
        <v>Jiangxi Jiangwu Cobalt Industrial Co., Ltd.</v>
      </c>
      <c r="S31" s="155" t="str">
        <f t="shared" ca="1" si="3"/>
        <v>CN</v>
      </c>
      <c r="T31" s="155" t="str">
        <f ca="1">IF(B31="","",IF(ISERROR(MATCH($J31,SorP!$B$1:$B$6226,0)),"",INDIRECT("'SorP'!$A$"&amp;MATCH($S31&amp;$J31,SorP!C:C,0))))</f>
        <v>CN-JX</v>
      </c>
      <c r="U31" s="168"/>
      <c r="V31" s="169">
        <f ca="1">IF(C31="",NA(),MATCH($B31&amp;$C31,'Smelter Look-up'!$J:$J,0))</f>
        <v>69</v>
      </c>
      <c r="X31" s="170">
        <f t="shared" ca="1" si="4"/>
        <v>0</v>
      </c>
      <c r="AB31" s="314" t="str">
        <f t="shared" ca="1" si="5"/>
        <v>Cobalt</v>
      </c>
    </row>
    <row r="32" spans="1:28" s="170" customFormat="1" ht="51">
      <c r="A32" s="155" t="s">
        <v>169</v>
      </c>
      <c r="B32" s="304" t="str">
        <f ca="1">IF(LEN(A32)=0,"",INDEX('Smelter Look-up'!$A:$A,MATCH($A32,'Smelter Look-up'!$E:$E,0)))</f>
        <v>Cobalt</v>
      </c>
      <c r="C32" s="152" t="str">
        <f ca="1">IF(LEN(A32)=0,"",INDEX('Smelter Look-up'!$C:$C,MATCH($A32,'Smelter Look-up'!$E:$E,0)))</f>
        <v>Jingmen GEM Co., Ltd.</v>
      </c>
      <c r="D32" s="149"/>
      <c r="E32" s="149" t="str">
        <f ca="1">IF(ISERROR($V32),"",OFFSET('Smelter Look-up'!$D$4,$V32-4,0)&amp;"")</f>
        <v>CHINA</v>
      </c>
      <c r="F32" s="149" t="str">
        <f ca="1">IF(ISERROR($V32),"",OFFSET('Smelter Look-up'!$E$4,$V32-4,0))</f>
        <v>CID003378</v>
      </c>
      <c r="G32" s="149" t="str">
        <f ca="1">IF(C32=$X$4,"Enter smelter details",IF(ISERROR($V32),"",OFFSET('Smelter Look-up'!$F$4,$V32-4,0)))</f>
        <v>RMI</v>
      </c>
      <c r="H32" s="206">
        <f ca="1">IF(ISERROR($V32),"",OFFSET('Smelter Look-up'!$G$4,$V32-4,0))</f>
        <v>0</v>
      </c>
      <c r="I32" s="207" t="str">
        <f ca="1">IF(ISERROR($V32),"",OFFSET('Smelter Look-up'!$H$4,$V32-4,0))</f>
        <v>Jingmen</v>
      </c>
      <c r="J32" s="207" t="str">
        <f ca="1">IF(ISERROR($V32),"",OFFSET('Smelter Look-up'!$I$4,$V32-4,0))</f>
        <v>Hubei Sheng</v>
      </c>
      <c r="K32" s="150"/>
      <c r="L32" s="150"/>
      <c r="M32" s="150"/>
      <c r="N32" s="150"/>
      <c r="O32" s="150" t="s">
        <v>20080</v>
      </c>
      <c r="P32" s="209"/>
      <c r="Q32" s="151"/>
      <c r="R32" s="149" t="str">
        <f ca="1">IF(ISERROR($V32),"",OFFSET('Smelter Look-up'!$C$4,$V32-4,0)&amp;"")</f>
        <v>Jingmen GEM Co., Ltd.</v>
      </c>
      <c r="S32" s="155" t="str">
        <f t="shared" ca="1" si="3"/>
        <v>CN</v>
      </c>
      <c r="T32" s="155" t="str">
        <f ca="1">IF(B32="","",IF(ISERROR(MATCH($J32,SorP!$B$1:$B$6226,0)),"",INDIRECT("'SorP'!$A$"&amp;MATCH($S32&amp;$J32,SorP!C:C,0))))</f>
        <v>CN-HB</v>
      </c>
      <c r="U32" s="168"/>
      <c r="V32" s="169">
        <f ca="1">IF(C32="",NA(),MATCH($B32&amp;$C32,'Smelter Look-up'!$J:$J,0))</f>
        <v>74</v>
      </c>
      <c r="X32" s="170">
        <f t="shared" ca="1" si="4"/>
        <v>0</v>
      </c>
      <c r="AB32" s="314" t="str">
        <f t="shared" ca="1" si="5"/>
        <v>Cobalt</v>
      </c>
    </row>
    <row r="33" spans="1:28" s="170" customFormat="1" ht="102">
      <c r="A33" s="155" t="s">
        <v>108</v>
      </c>
      <c r="B33" s="304" t="str">
        <f ca="1">IF(LEN(A33)=0,"",INDEX('Smelter Look-up'!$A:$A,MATCH($A33,'Smelter Look-up'!$E:$E,0)))</f>
        <v>Cobalt</v>
      </c>
      <c r="C33" s="152" t="str">
        <f ca="1">IF(LEN(A33)=0,"",INDEX('Smelter Look-up'!$C:$C,MATCH($A33,'Smelter Look-up'!$E:$E,0)))</f>
        <v>Ganzhou Highpower Technology Co., Ltd.</v>
      </c>
      <c r="D33" s="149"/>
      <c r="E33" s="149" t="str">
        <f ca="1">IF(ISERROR($V33),"",OFFSET('Smelter Look-up'!$D$4,$V33-4,0)&amp;"")</f>
        <v>CHINA</v>
      </c>
      <c r="F33" s="149" t="str">
        <f ca="1">IF(ISERROR($V33),"",OFFSET('Smelter Look-up'!$E$4,$V33-4,0))</f>
        <v>CID003384</v>
      </c>
      <c r="G33" s="149" t="str">
        <f ca="1">IF(C33=$X$4,"Enter smelter details",IF(ISERROR($V33),"",OFFSET('Smelter Look-up'!$F$4,$V33-4,0)))</f>
        <v>RMI</v>
      </c>
      <c r="H33" s="206">
        <f ca="1">IF(ISERROR($V33),"",OFFSET('Smelter Look-up'!$G$4,$V33-4,0))</f>
        <v>0</v>
      </c>
      <c r="I33" s="207" t="str">
        <f ca="1">IF(ISERROR($V33),"",OFFSET('Smelter Look-up'!$H$4,$V33-4,0))</f>
        <v>Ganzhou</v>
      </c>
      <c r="J33" s="207" t="str">
        <f ca="1">IF(ISERROR($V33),"",OFFSET('Smelter Look-up'!$I$4,$V33-4,0))</f>
        <v>Jiangxi Sheng</v>
      </c>
      <c r="K33" s="150"/>
      <c r="L33" s="150"/>
      <c r="M33" s="150"/>
      <c r="N33" s="150"/>
      <c r="O33" s="150" t="s">
        <v>20080</v>
      </c>
      <c r="P33" s="209"/>
      <c r="Q33" s="151"/>
      <c r="R33" s="149" t="str">
        <f ca="1">IF(ISERROR($V33),"",OFFSET('Smelter Look-up'!$C$4,$V33-4,0)&amp;"")</f>
        <v>Ganzhou Highpower Technology Co., Ltd.</v>
      </c>
      <c r="S33" s="155" t="str">
        <f t="shared" ca="1" si="3"/>
        <v>CN</v>
      </c>
      <c r="T33" s="155" t="str">
        <f ca="1">IF(B33="","",IF(ISERROR(MATCH($J33,SorP!$B$1:$B$6226,0)),"",INDIRECT("'SorP'!$A$"&amp;MATCH($S33&amp;$J33,SorP!C:C,0))))</f>
        <v>CN-JX</v>
      </c>
      <c r="U33" s="168"/>
      <c r="V33" s="169">
        <f ca="1">IF(C33="",NA(),MATCH($B33&amp;$C33,'Smelter Look-up'!$J:$J,0))</f>
        <v>34</v>
      </c>
      <c r="X33" s="170">
        <f t="shared" ca="1" si="4"/>
        <v>0</v>
      </c>
      <c r="AB33" s="314" t="str">
        <f t="shared" ca="1" si="5"/>
        <v>Cobalt</v>
      </c>
    </row>
    <row r="34" spans="1:28" s="170" customFormat="1" ht="76.5">
      <c r="A34" s="155" t="s">
        <v>246</v>
      </c>
      <c r="B34" s="304" t="str">
        <f ca="1">IF(LEN(A34)=0,"",INDEX('Smelter Look-up'!$A:$A,MATCH($A34,'Smelter Look-up'!$E:$E,0)))</f>
        <v>Cobalt</v>
      </c>
      <c r="C34" s="152" t="str">
        <f ca="1">IF(LEN(A34)=0,"",INDEX('Smelter Look-up'!$C:$C,MATCH($A34,'Smelter Look-up'!$E:$E,0)))</f>
        <v>NORILSK NICKEL HARJAVALTA OY</v>
      </c>
      <c r="D34" s="149"/>
      <c r="E34" s="149" t="str">
        <f ca="1">IF(ISERROR($V34),"",OFFSET('Smelter Look-up'!$D$4,$V34-4,0)&amp;"")</f>
        <v>FINLAND</v>
      </c>
      <c r="F34" s="149" t="str">
        <f ca="1">IF(ISERROR($V34),"",OFFSET('Smelter Look-up'!$E$4,$V34-4,0))</f>
        <v>CID003390</v>
      </c>
      <c r="G34" s="149" t="str">
        <f ca="1">IF(C34=$X$4,"Enter smelter details",IF(ISERROR($V34),"",OFFSET('Smelter Look-up'!$F$4,$V34-4,0)))</f>
        <v>RMI</v>
      </c>
      <c r="H34" s="206">
        <f ca="1">IF(ISERROR($V34),"",OFFSET('Smelter Look-up'!$G$4,$V34-4,0))</f>
        <v>0</v>
      </c>
      <c r="I34" s="207" t="str">
        <f ca="1">IF(ISERROR($V34),"",OFFSET('Smelter Look-up'!$H$4,$V34-4,0))</f>
        <v>Harvjavalta</v>
      </c>
      <c r="J34" s="207" t="str">
        <f ca="1">IF(ISERROR($V34),"",OFFSET('Smelter Look-up'!$I$4,$V34-4,0))</f>
        <v>Satakunta</v>
      </c>
      <c r="K34" s="150"/>
      <c r="L34" s="150"/>
      <c r="M34" s="150"/>
      <c r="N34" s="150"/>
      <c r="O34" s="150" t="s">
        <v>20080</v>
      </c>
      <c r="P34" s="209"/>
      <c r="Q34" s="151"/>
      <c r="R34" s="149" t="str">
        <f ca="1">IF(ISERROR($V34),"",OFFSET('Smelter Look-up'!$C$4,$V34-4,0)&amp;"")</f>
        <v>NORILSK NICKEL HARJAVALTA OY</v>
      </c>
      <c r="S34" s="155" t="str">
        <f t="shared" ca="1" si="3"/>
        <v>FI</v>
      </c>
      <c r="T34" s="155" t="str">
        <f ca="1">IF(B34="","",IF(ISERROR(MATCH($J34,SorP!$B$1:$B$6226,0)),"",INDIRECT("'SorP'!$A$"&amp;MATCH($S34&amp;$J34,SorP!C:C,0))))</f>
        <v>FI-17</v>
      </c>
      <c r="U34" s="168"/>
      <c r="V34" s="169">
        <f ca="1">IF(C34="",NA(),MATCH($B34&amp;$C34,'Smelter Look-up'!$J:$J,0))</f>
        <v>124</v>
      </c>
      <c r="X34" s="170">
        <f t="shared" ca="1" si="4"/>
        <v>0</v>
      </c>
      <c r="AB34" s="314" t="str">
        <f t="shared" ca="1" si="5"/>
        <v>Cobalt</v>
      </c>
    </row>
    <row r="35" spans="1:28" s="170" customFormat="1" ht="114.75">
      <c r="A35" s="155" t="s">
        <v>235</v>
      </c>
      <c r="B35" s="304" t="str">
        <f ca="1">IF(LEN(A35)=0,"",INDEX('Smelter Look-up'!$A:$A,MATCH($A35,'Smelter Look-up'!$E:$E,0)))</f>
        <v>Cobalt</v>
      </c>
      <c r="C35" s="152" t="str">
        <f ca="1">IF(LEN(A35)=0,"",INDEX('Smelter Look-up'!$C:$C,MATCH($A35,'Smelter Look-up'!$E:$E,0)))</f>
        <v>Zhejiang New Era Zhongneng Technology Co., Ltd.</v>
      </c>
      <c r="D35" s="149"/>
      <c r="E35" s="149" t="str">
        <f ca="1">IF(ISERROR($V35),"",OFFSET('Smelter Look-up'!$D$4,$V35-4,0)&amp;"")</f>
        <v>CHINA</v>
      </c>
      <c r="F35" s="149" t="str">
        <f ca="1">IF(ISERROR($V35),"",OFFSET('Smelter Look-up'!$E$4,$V35-4,0))</f>
        <v>CID003398</v>
      </c>
      <c r="G35" s="149" t="str">
        <f ca="1">IF(C35=$X$4,"Enter smelter details",IF(ISERROR($V35),"",OFFSET('Smelter Look-up'!$F$4,$V35-4,0)))</f>
        <v>RMI</v>
      </c>
      <c r="H35" s="206">
        <f ca="1">IF(ISERROR($V35),"",OFFSET('Smelter Look-up'!$G$4,$V35-4,0))</f>
        <v>0</v>
      </c>
      <c r="I35" s="207" t="str">
        <f ca="1">IF(ISERROR($V35),"",OFFSET('Smelter Look-up'!$H$4,$V35-4,0))</f>
        <v>Shaoxing</v>
      </c>
      <c r="J35" s="207" t="str">
        <f ca="1">IF(ISERROR($V35),"",OFFSET('Smelter Look-up'!$I$4,$V35-4,0))</f>
        <v>Zhejiang Sheng</v>
      </c>
      <c r="K35" s="150"/>
      <c r="L35" s="150"/>
      <c r="M35" s="150"/>
      <c r="N35" s="150"/>
      <c r="O35" s="150" t="s">
        <v>20080</v>
      </c>
      <c r="P35" s="209"/>
      <c r="Q35" s="151"/>
      <c r="R35" s="149" t="str">
        <f ca="1">IF(ISERROR($V35),"",OFFSET('Smelter Look-up'!$C$4,$V35-4,0)&amp;"")</f>
        <v>Zhejiang New Era Zhongneng Technology Co., Ltd.</v>
      </c>
      <c r="S35" s="155" t="str">
        <f t="shared" ca="1" si="3"/>
        <v>CN</v>
      </c>
      <c r="T35" s="155" t="str">
        <f ca="1">IF(B35="","",IF(ISERROR(MATCH($J35,SorP!$B$1:$B$6226,0)),"",INDIRECT("'SorP'!$A$"&amp;MATCH($S35&amp;$J35,SorP!C:C,0))))</f>
        <v>CN-ZJ</v>
      </c>
      <c r="U35" s="168"/>
      <c r="V35" s="169">
        <f ca="1">IF(C35="",NA(),MATCH($B35&amp;$C35,'Smelter Look-up'!$J:$J,0))</f>
        <v>171</v>
      </c>
      <c r="X35" s="170">
        <f t="shared" ca="1" si="4"/>
        <v>0</v>
      </c>
      <c r="AB35" s="314" t="str">
        <f t="shared" ca="1" si="5"/>
        <v>Cobalt</v>
      </c>
    </row>
    <row r="36" spans="1:28" s="170" customFormat="1" ht="76.5">
      <c r="A36" s="155" t="s">
        <v>153</v>
      </c>
      <c r="B36" s="304" t="str">
        <f ca="1">IF(LEN(A36)=0,"",INDEX('Smelter Look-up'!$A:$A,MATCH($A36,'Smelter Look-up'!$E:$E,0)))</f>
        <v>Cobalt</v>
      </c>
      <c r="C36" s="152" t="str">
        <f ca="1">IF(LEN(A36)=0,"",INDEX('Smelter Look-up'!$C:$C,MATCH($A36,'Smelter Look-up'!$E:$E,0)))</f>
        <v>Hunan Yacheng New Energy Co., Ltd.</v>
      </c>
      <c r="D36" s="149"/>
      <c r="E36" s="149" t="str">
        <f ca="1">IF(ISERROR($V36),"",OFFSET('Smelter Look-up'!$D$4,$V36-4,0)&amp;"")</f>
        <v>CHINA</v>
      </c>
      <c r="F36" s="149" t="str">
        <f ca="1">IF(ISERROR($V36),"",OFFSET('Smelter Look-up'!$E$4,$V36-4,0))</f>
        <v>CID003404</v>
      </c>
      <c r="G36" s="149" t="str">
        <f ca="1">IF(C36=$X$4,"Enter smelter details",IF(ISERROR($V36),"",OFFSET('Smelter Look-up'!$F$4,$V36-4,0)))</f>
        <v>RMI</v>
      </c>
      <c r="H36" s="206">
        <f ca="1">IF(ISERROR($V36),"",OFFSET('Smelter Look-up'!$G$4,$V36-4,0))</f>
        <v>0</v>
      </c>
      <c r="I36" s="207" t="str">
        <f ca="1">IF(ISERROR($V36),"",OFFSET('Smelter Look-up'!$H$4,$V36-4,0))</f>
        <v>Changsha</v>
      </c>
      <c r="J36" s="207" t="str">
        <f ca="1">IF(ISERROR($V36),"",OFFSET('Smelter Look-up'!$I$4,$V36-4,0))</f>
        <v>Hunan Sheng</v>
      </c>
      <c r="K36" s="150"/>
      <c r="L36" s="150"/>
      <c r="M36" s="150"/>
      <c r="N36" s="150"/>
      <c r="O36" s="150" t="s">
        <v>20080</v>
      </c>
      <c r="P36" s="209"/>
      <c r="Q36" s="151"/>
      <c r="R36" s="149" t="str">
        <f ca="1">IF(ISERROR($V36),"",OFFSET('Smelter Look-up'!$C$4,$V36-4,0)&amp;"")</f>
        <v>Hunan Yacheng New Energy Co., Ltd.</v>
      </c>
      <c r="S36" s="155" t="str">
        <f t="shared" ca="1" si="3"/>
        <v>CN</v>
      </c>
      <c r="T36" s="155" t="str">
        <f ca="1">IF(B36="","",IF(ISERROR(MATCH($J36,SorP!$B$1:$B$6226,0)),"",INDIRECT("'SorP'!$A$"&amp;MATCH($S36&amp;$J36,SorP!C:C,0))))</f>
        <v>CN-HN</v>
      </c>
      <c r="U36" s="168"/>
      <c r="V36" s="169">
        <f ca="1">IF(C36="",NA(),MATCH($B36&amp;$C36,'Smelter Look-up'!$J:$J,0))</f>
        <v>54</v>
      </c>
      <c r="X36" s="170">
        <f t="shared" ca="1" si="4"/>
        <v>0</v>
      </c>
      <c r="AB36" s="314" t="str">
        <f t="shared" ca="1" si="5"/>
        <v>Cobalt</v>
      </c>
    </row>
    <row r="37" spans="1:28" s="170" customFormat="1" ht="63.75">
      <c r="A37" s="155" t="s">
        <v>220</v>
      </c>
      <c r="B37" s="304" t="str">
        <f ca="1">IF(LEN(A37)=0,"",INDEX('Smelter Look-up'!$A:$A,MATCH($A37,'Smelter Look-up'!$E:$E,0)))</f>
        <v>Cobalt</v>
      </c>
      <c r="C37" s="152" t="str">
        <f ca="1">IF(LEN(A37)=0,"",INDEX('Smelter Look-up'!$C:$C,MATCH($A37,'Smelter Look-up'!$E:$E,0)))</f>
        <v>Murrin Murrin Nickel Cobalt Plant</v>
      </c>
      <c r="D37" s="149"/>
      <c r="E37" s="149" t="str">
        <f ca="1">IF(ISERROR($V37),"",OFFSET('Smelter Look-up'!$D$4,$V37-4,0)&amp;"")</f>
        <v>AUSTRALIA</v>
      </c>
      <c r="F37" s="149" t="str">
        <f ca="1">IF(ISERROR($V37),"",OFFSET('Smelter Look-up'!$E$4,$V37-4,0))</f>
        <v>CID003406</v>
      </c>
      <c r="G37" s="149" t="str">
        <f ca="1">IF(C37=$X$4,"Enter smelter details",IF(ISERROR($V37),"",OFFSET('Smelter Look-up'!$F$4,$V37-4,0)))</f>
        <v>RMI</v>
      </c>
      <c r="H37" s="206">
        <f ca="1">IF(ISERROR($V37),"",OFFSET('Smelter Look-up'!$G$4,$V37-4,0))</f>
        <v>0</v>
      </c>
      <c r="I37" s="207" t="str">
        <f ca="1">IF(ISERROR($V37),"",OFFSET('Smelter Look-up'!$H$4,$V37-4,0))</f>
        <v>Laverton</v>
      </c>
      <c r="J37" s="207" t="str">
        <f ca="1">IF(ISERROR($V37),"",OFFSET('Smelter Look-up'!$I$4,$V37-4,0))</f>
        <v>Western Australia</v>
      </c>
      <c r="K37" s="150"/>
      <c r="L37" s="150"/>
      <c r="M37" s="150"/>
      <c r="N37" s="150"/>
      <c r="O37" s="150" t="s">
        <v>20080</v>
      </c>
      <c r="P37" s="209"/>
      <c r="Q37" s="151"/>
      <c r="R37" s="149" t="str">
        <f ca="1">IF(ISERROR($V37),"",OFFSET('Smelter Look-up'!$C$4,$V37-4,0)&amp;"")</f>
        <v>Murrin Murrin Nickel Cobalt Plant</v>
      </c>
      <c r="S37" s="155" t="str">
        <f t="shared" ca="1" si="3"/>
        <v>AU</v>
      </c>
      <c r="T37" s="155" t="str">
        <f ca="1">IF(B37="","",IF(ISERROR(MATCH($J37,SorP!$B$1:$B$6226,0)),"",INDIRECT("'SorP'!$A$"&amp;MATCH($S37&amp;$J37,SorP!C:C,0))))</f>
        <v>AU-WA</v>
      </c>
      <c r="U37" s="168"/>
      <c r="V37" s="169">
        <f ca="1">IF(C37="",NA(),MATCH($B37&amp;$C37,'Smelter Look-up'!$J:$J,0))</f>
        <v>109</v>
      </c>
      <c r="X37" s="170">
        <f t="shared" ca="1" si="4"/>
        <v>0</v>
      </c>
      <c r="AB37" s="314" t="str">
        <f t="shared" ca="1" si="5"/>
        <v>Cobalt</v>
      </c>
    </row>
    <row r="38" spans="1:28" s="170" customFormat="1" ht="127.5">
      <c r="A38" s="155" t="s">
        <v>145</v>
      </c>
      <c r="B38" s="304" t="str">
        <f ca="1">IF(LEN(A38)=0,"",INDEX('Smelter Look-up'!$A:$A,MATCH($A38,'Smelter Look-up'!$E:$E,0)))</f>
        <v>Cobalt</v>
      </c>
      <c r="C38" s="152" t="str">
        <f ca="1">IF(LEN(A38)=0,"",INDEX('Smelter Look-up'!$C:$C,MATCH($A38,'Smelter Look-up'!$E:$E,0)))</f>
        <v>Hunan CNGR New Energy Science &amp; Technology Co., Ltd.</v>
      </c>
      <c r="D38" s="149"/>
      <c r="E38" s="149" t="str">
        <f ca="1">IF(ISERROR($V38),"",OFFSET('Smelter Look-up'!$D$4,$V38-4,0)&amp;"")</f>
        <v>CHINA</v>
      </c>
      <c r="F38" s="149" t="str">
        <f ca="1">IF(ISERROR($V38),"",OFFSET('Smelter Look-up'!$E$4,$V38-4,0))</f>
        <v>CID003411</v>
      </c>
      <c r="G38" s="149" t="str">
        <f ca="1">IF(C38=$X$4,"Enter smelter details",IF(ISERROR($V38),"",OFFSET('Smelter Look-up'!$F$4,$V38-4,0)))</f>
        <v>RMI</v>
      </c>
      <c r="H38" s="206">
        <f ca="1">IF(ISERROR($V38),"",OFFSET('Smelter Look-up'!$G$4,$V38-4,0))</f>
        <v>0</v>
      </c>
      <c r="I38" s="207" t="str">
        <f ca="1">IF(ISERROR($V38),"",OFFSET('Smelter Look-up'!$H$4,$V38-4,0))</f>
        <v>Changsha</v>
      </c>
      <c r="J38" s="207" t="str">
        <f ca="1">IF(ISERROR($V38),"",OFFSET('Smelter Look-up'!$I$4,$V38-4,0))</f>
        <v>Hunan Sheng</v>
      </c>
      <c r="K38" s="150"/>
      <c r="L38" s="150"/>
      <c r="M38" s="150"/>
      <c r="N38" s="150"/>
      <c r="O38" s="150" t="s">
        <v>20080</v>
      </c>
      <c r="P38" s="209"/>
      <c r="Q38" s="151"/>
      <c r="R38" s="149" t="str">
        <f ca="1">IF(ISERROR($V38),"",OFFSET('Smelter Look-up'!$C$4,$V38-4,0)&amp;"")</f>
        <v>Hunan CNGR New Energy Science &amp; Technology Co., Ltd.</v>
      </c>
      <c r="S38" s="155" t="str">
        <f t="shared" ca="1" si="3"/>
        <v>CN</v>
      </c>
      <c r="T38" s="155" t="str">
        <f ca="1">IF(B38="","",IF(ISERROR(MATCH($J38,SorP!$B$1:$B$6226,0)),"",INDIRECT("'SorP'!$A$"&amp;MATCH($S38&amp;$J38,SorP!C:C,0))))</f>
        <v>CN-HN</v>
      </c>
      <c r="U38" s="168"/>
      <c r="V38" s="169">
        <f ca="1">IF(C38="",NA(),MATCH($B38&amp;$C38,'Smelter Look-up'!$J:$J,0))</f>
        <v>49</v>
      </c>
      <c r="X38" s="170">
        <f t="shared" ca="1" si="4"/>
        <v>0</v>
      </c>
      <c r="AB38" s="314" t="str">
        <f t="shared" ca="1" si="5"/>
        <v>Cobalt</v>
      </c>
    </row>
    <row r="39" spans="1:28" s="170" customFormat="1" ht="63.75">
      <c r="A39" s="155" t="s">
        <v>274</v>
      </c>
      <c r="B39" s="304" t="str">
        <f ca="1">IF(LEN(A39)=0,"",INDEX('Smelter Look-up'!$A:$A,MATCH($A39,'Smelter Look-up'!$E:$E,0)))</f>
        <v>Cobalt</v>
      </c>
      <c r="C39" s="152" t="str">
        <f ca="1">IF(LEN(A39)=0,"",INDEX('Smelter Look-up'!$C:$C,MATCH($A39,'Smelter Look-up'!$E:$E,0)))</f>
        <v>Tenke Fungurume Mining SA</v>
      </c>
      <c r="D39" s="149"/>
      <c r="E39" s="149" t="str">
        <f ca="1">IF(ISERROR($V39),"",OFFSET('Smelter Look-up'!$D$4,$V39-4,0)&amp;"")</f>
        <v>CONGO, DEMOCRATIC REPUBLIC OF THE</v>
      </c>
      <c r="F39" s="149" t="str">
        <f ca="1">IF(ISERROR($V39),"",OFFSET('Smelter Look-up'!$E$4,$V39-4,0))</f>
        <v>CID003429</v>
      </c>
      <c r="G39" s="149" t="str">
        <f ca="1">IF(C39=$X$4,"Enter smelter details",IF(ISERROR($V39),"",OFFSET('Smelter Look-up'!$F$4,$V39-4,0)))</f>
        <v>RMI</v>
      </c>
      <c r="H39" s="206">
        <f ca="1">IF(ISERROR($V39),"",OFFSET('Smelter Look-up'!$G$4,$V39-4,0))</f>
        <v>0</v>
      </c>
      <c r="I39" s="207" t="str">
        <f ca="1">IF(ISERROR($V39),"",OFFSET('Smelter Look-up'!$H$4,$V39-4,0))</f>
        <v>Tenke and Fungurume Town</v>
      </c>
      <c r="J39" s="207" t="str">
        <f ca="1">IF(ISERROR($V39),"",OFFSET('Smelter Look-up'!$I$4,$V39-4,0))</f>
        <v>Lualaba</v>
      </c>
      <c r="K39" s="150"/>
      <c r="L39" s="150"/>
      <c r="M39" s="150"/>
      <c r="N39" s="150"/>
      <c r="O39" s="150" t="s">
        <v>20080</v>
      </c>
      <c r="P39" s="209"/>
      <c r="Q39" s="151"/>
      <c r="R39" s="149" t="str">
        <f ca="1">IF(ISERROR($V39),"",OFFSET('Smelter Look-up'!$C$4,$V39-4,0)&amp;"")</f>
        <v>Tenke Fungurume Mining SA</v>
      </c>
      <c r="S39" s="155" t="str">
        <f t="shared" ca="1" si="3"/>
        <v>CD</v>
      </c>
      <c r="T39" s="155" t="str">
        <f ca="1">IF(B39="","",IF(ISERROR(MATCH($J39,SorP!$B$1:$B$6226,0)),"",INDIRECT("'SorP'!$A$"&amp;MATCH($S39&amp;$J39,SorP!C:C,0))))</f>
        <v>CD-LU</v>
      </c>
      <c r="U39" s="168"/>
      <c r="V39" s="169">
        <f ca="1">IF(C39="",NA(),MATCH($B39&amp;$C39,'Smelter Look-up'!$J:$J,0))</f>
        <v>149</v>
      </c>
      <c r="X39" s="170">
        <f t="shared" ca="1" si="4"/>
        <v>0</v>
      </c>
      <c r="AB39" s="314" t="str">
        <f t="shared" ca="1" si="5"/>
        <v>Cobalt</v>
      </c>
    </row>
    <row r="40" spans="1:28" s="170" customFormat="1" ht="38.25">
      <c r="A40" s="155" t="s">
        <v>77</v>
      </c>
      <c r="B40" s="304" t="str">
        <f ca="1">IF(LEN(A40)=0,"",INDEX('Smelter Look-up'!$A:$A,MATCH($A40,'Smelter Look-up'!$E:$E,0)))</f>
        <v>Cobalt</v>
      </c>
      <c r="C40" s="152" t="str">
        <f ca="1">IF(LEN(A40)=0,"",INDEX('Smelter Look-up'!$C:$C,MATCH($A40,'Smelter Look-up'!$E:$E,0)))</f>
        <v>Uranus Chemicals</v>
      </c>
      <c r="D40" s="149"/>
      <c r="E40" s="149" t="str">
        <f ca="1">IF(ISERROR($V40),"",OFFSET('Smelter Look-up'!$D$4,$V40-4,0)&amp;"")</f>
        <v>TAIWAN, PROVINCE OF CHINA</v>
      </c>
      <c r="F40" s="149" t="str">
        <f ca="1">IF(ISERROR($V40),"",OFFSET('Smelter Look-up'!$E$4,$V40-4,0))</f>
        <v>CID003473</v>
      </c>
      <c r="G40" s="149" t="str">
        <f ca="1">IF(C40=$X$4,"Enter smelter details",IF(ISERROR($V40),"",OFFSET('Smelter Look-up'!$F$4,$V40-4,0)))</f>
        <v>RMI</v>
      </c>
      <c r="H40" s="206">
        <f ca="1">IF(ISERROR($V40),"",OFFSET('Smelter Look-up'!$G$4,$V40-4,0))</f>
        <v>0</v>
      </c>
      <c r="I40" s="207" t="str">
        <f ca="1">IF(ISERROR($V40),"",OFFSET('Smelter Look-up'!$H$4,$V40-4,0))</f>
        <v>Toufen</v>
      </c>
      <c r="J40" s="207" t="str">
        <f ca="1">IF(ISERROR($V40),"",OFFSET('Smelter Look-up'!$I$4,$V40-4,0))</f>
        <v>Miaoli</v>
      </c>
      <c r="K40" s="150"/>
      <c r="L40" s="150"/>
      <c r="M40" s="150"/>
      <c r="N40" s="150"/>
      <c r="O40" s="150" t="s">
        <v>20080</v>
      </c>
      <c r="P40" s="209"/>
      <c r="Q40" s="151"/>
      <c r="R40" s="149" t="str">
        <f ca="1">IF(ISERROR($V40),"",OFFSET('Smelter Look-up'!$C$4,$V40-4,0)&amp;"")</f>
        <v>Uranus Chemicals</v>
      </c>
      <c r="S40" s="155" t="str">
        <f t="shared" ca="1" si="3"/>
        <v>TW</v>
      </c>
      <c r="T40" s="155" t="str">
        <f ca="1">IF(B40="","",IF(ISERROR(MATCH($J40,SorP!$B$1:$B$6226,0)),"",INDIRECT("'SorP'!$A$"&amp;MATCH($S40&amp;$J40,SorP!C:C,0))))</f>
        <v>TW-MIA</v>
      </c>
      <c r="U40" s="168"/>
      <c r="V40" s="169">
        <f ca="1">IF(C40="",NA(),MATCH($B40&amp;$C40,'Smelter Look-up'!$J:$J,0))</f>
        <v>154</v>
      </c>
      <c r="X40" s="170">
        <f t="shared" ca="1" si="4"/>
        <v>0</v>
      </c>
      <c r="AB40" s="314" t="str">
        <f t="shared" ca="1" si="5"/>
        <v>Cobalt</v>
      </c>
    </row>
    <row r="41" spans="1:28" s="170" customFormat="1" ht="102">
      <c r="A41" s="155" t="s">
        <v>304</v>
      </c>
      <c r="B41" s="304" t="str">
        <f ca="1">IF(LEN(A41)=0,"",INDEX('Smelter Look-up'!$A:$A,MATCH($A41,'Smelter Look-up'!$E:$E,0)))</f>
        <v>Cobalt</v>
      </c>
      <c r="C41" s="152" t="str">
        <f ca="1">IF(LEN(A41)=0,"",INDEX('Smelter Look-up'!$C:$C,MATCH($A41,'Smelter Look-up'!$E:$E,0)))</f>
        <v>Zhejiang Greatpower Cobalt Materials Co., Ltd.</v>
      </c>
      <c r="D41" s="149"/>
      <c r="E41" s="149" t="str">
        <f ca="1">IF(ISERROR($V41),"",OFFSET('Smelter Look-up'!$D$4,$V41-4,0)&amp;"")</f>
        <v>CHINA</v>
      </c>
      <c r="F41" s="149" t="str">
        <f ca="1">IF(ISERROR($V41),"",OFFSET('Smelter Look-up'!$E$4,$V41-4,0))</f>
        <v>CID003526</v>
      </c>
      <c r="G41" s="149" t="str">
        <f ca="1">IF(C41=$X$4,"Enter smelter details",IF(ISERROR($V41),"",OFFSET('Smelter Look-up'!$F$4,$V41-4,0)))</f>
        <v>RMI</v>
      </c>
      <c r="H41" s="206">
        <f ca="1">IF(ISERROR($V41),"",OFFSET('Smelter Look-up'!$G$4,$V41-4,0))</f>
        <v>0</v>
      </c>
      <c r="I41" s="207" t="str">
        <f ca="1">IF(ISERROR($V41),"",OFFSET('Smelter Look-up'!$H$4,$V41-4,0))</f>
        <v>Shaoxing</v>
      </c>
      <c r="J41" s="207" t="str">
        <f ca="1">IF(ISERROR($V41),"",OFFSET('Smelter Look-up'!$I$4,$V41-4,0))</f>
        <v>Zhejiang Sheng</v>
      </c>
      <c r="K41" s="150"/>
      <c r="L41" s="150"/>
      <c r="M41" s="150"/>
      <c r="N41" s="150"/>
      <c r="O41" s="150" t="s">
        <v>20080</v>
      </c>
      <c r="P41" s="209"/>
      <c r="Q41" s="151"/>
      <c r="R41" s="149" t="str">
        <f ca="1">IF(ISERROR($V41),"",OFFSET('Smelter Look-up'!$C$4,$V41-4,0)&amp;"")</f>
        <v>Zhejiang Greatpower Cobalt Materials Co., Ltd.</v>
      </c>
      <c r="S41" s="155" t="str">
        <f t="shared" ca="1" si="3"/>
        <v>CN</v>
      </c>
      <c r="T41" s="155" t="str">
        <f ca="1">IF(B41="","",IF(ISERROR(MATCH($J41,SorP!$B$1:$B$6226,0)),"",INDIRECT("'SorP'!$A$"&amp;MATCH($S41&amp;$J41,SorP!C:C,0))))</f>
        <v>CN-ZJ</v>
      </c>
      <c r="U41" s="168"/>
      <c r="V41" s="169">
        <f ca="1">IF(C41="",NA(),MATCH($B41&amp;$C41,'Smelter Look-up'!$J:$J,0))</f>
        <v>167</v>
      </c>
      <c r="X41" s="170">
        <f t="shared" ca="1" si="4"/>
        <v>0</v>
      </c>
      <c r="AB41" s="314" t="str">
        <f t="shared" ca="1" si="5"/>
        <v>Cobalt</v>
      </c>
    </row>
    <row r="42" spans="1:28" s="170" customFormat="1" ht="51">
      <c r="A42" s="155" t="s">
        <v>212</v>
      </c>
      <c r="B42" s="304" t="str">
        <f ca="1">IF(LEN(A42)=0,"",INDEX('Smelter Look-up'!$A:$A,MATCH($A42,'Smelter Look-up'!$E:$E,0)))</f>
        <v>Cobalt</v>
      </c>
      <c r="C42" s="152" t="str">
        <f ca="1">IF(LEN(A42)=0,"",INDEX('Smelter Look-up'!$C:$C,MATCH($A42,'Smelter Look-up'!$E:$E,0)))</f>
        <v>Mechema Taiwan Plant 2</v>
      </c>
      <c r="D42" s="149"/>
      <c r="E42" s="149" t="str">
        <f ca="1">IF(ISERROR($V42),"",OFFSET('Smelter Look-up'!$D$4,$V42-4,0)&amp;"")</f>
        <v>TAIWAN, PROVINCE OF CHINA</v>
      </c>
      <c r="F42" s="149" t="str">
        <f ca="1">IF(ISERROR($V42),"",OFFSET('Smelter Look-up'!$E$4,$V42-4,0))</f>
        <v>CID003534</v>
      </c>
      <c r="G42" s="149" t="str">
        <f ca="1">IF(C42=$X$4,"Enter smelter details",IF(ISERROR($V42),"",OFFSET('Smelter Look-up'!$F$4,$V42-4,0)))</f>
        <v>RMI</v>
      </c>
      <c r="H42" s="206">
        <f ca="1">IF(ISERROR($V42),"",OFFSET('Smelter Look-up'!$G$4,$V42-4,0))</f>
        <v>0</v>
      </c>
      <c r="I42" s="207" t="str">
        <f ca="1">IF(ISERROR($V42),"",OFFSET('Smelter Look-up'!$H$4,$V42-4,0))</f>
        <v>Taoyuan</v>
      </c>
      <c r="J42" s="207" t="str">
        <f ca="1">IF(ISERROR($V42),"",OFFSET('Smelter Look-up'!$I$4,$V42-4,0))</f>
        <v>Taoyuan</v>
      </c>
      <c r="K42" s="150"/>
      <c r="L42" s="150"/>
      <c r="M42" s="150"/>
      <c r="N42" s="150"/>
      <c r="O42" s="150" t="s">
        <v>20080</v>
      </c>
      <c r="P42" s="209"/>
      <c r="Q42" s="151"/>
      <c r="R42" s="149" t="str">
        <f ca="1">IF(ISERROR($V42),"",OFFSET('Smelter Look-up'!$C$4,$V42-4,0)&amp;"")</f>
        <v>Mechema Taiwan Plant 2</v>
      </c>
      <c r="S42" s="155" t="str">
        <f t="shared" ca="1" si="3"/>
        <v>TW</v>
      </c>
      <c r="T42" s="155" t="str">
        <f ca="1">IF(B42="","",IF(ISERROR(MATCH($J42,SorP!$B$1:$B$6226,0)),"",INDIRECT("'SorP'!$A$"&amp;MATCH($S42&amp;$J42,SorP!C:C,0))))</f>
        <v>TW-TAO</v>
      </c>
      <c r="U42" s="168"/>
      <c r="V42" s="169">
        <f ca="1">IF(C42="",NA(),MATCH($B42&amp;$C42,'Smelter Look-up'!$J:$J,0))</f>
        <v>100</v>
      </c>
      <c r="X42" s="170">
        <f t="shared" ca="1" si="4"/>
        <v>0</v>
      </c>
      <c r="AB42" s="314" t="str">
        <f t="shared" ca="1" si="5"/>
        <v>Cobalt</v>
      </c>
    </row>
    <row r="43" spans="1:28" s="170" customFormat="1" ht="89.25">
      <c r="A43" s="155" t="s">
        <v>134</v>
      </c>
      <c r="B43" s="304" t="str">
        <f ca="1">IF(LEN(A43)=0,"",INDEX('Smelter Look-up'!$A:$A,MATCH($A43,'Smelter Look-up'!$E:$E,0)))</f>
        <v>Cobalt</v>
      </c>
      <c r="C43" s="152" t="str">
        <f ca="1">IF(LEN(A43)=0,"",INDEX('Smelter Look-up'!$C:$C,MATCH($A43,'Smelter Look-up'!$E:$E,0)))</f>
        <v>Harima Refinery, Sumitomo Metal Mining</v>
      </c>
      <c r="D43" s="149"/>
      <c r="E43" s="149" t="str">
        <f ca="1">IF(ISERROR($V43),"",OFFSET('Smelter Look-up'!$D$4,$V43-4,0)&amp;"")</f>
        <v>JAPAN</v>
      </c>
      <c r="F43" s="149" t="str">
        <f ca="1">IF(ISERROR($V43),"",OFFSET('Smelter Look-up'!$E$4,$V43-4,0))</f>
        <v>CID003577</v>
      </c>
      <c r="G43" s="149" t="str">
        <f ca="1">IF(C43=$X$4,"Enter smelter details",IF(ISERROR($V43),"",OFFSET('Smelter Look-up'!$F$4,$V43-4,0)))</f>
        <v>RMI</v>
      </c>
      <c r="H43" s="206">
        <f ca="1">IF(ISERROR($V43),"",OFFSET('Smelter Look-up'!$G$4,$V43-4,0))</f>
        <v>0</v>
      </c>
      <c r="I43" s="207" t="str">
        <f ca="1">IF(ISERROR($V43),"",OFFSET('Smelter Look-up'!$H$4,$V43-4,0))</f>
        <v>Kako-gun</v>
      </c>
      <c r="J43" s="207" t="str">
        <f ca="1">IF(ISERROR($V43),"",OFFSET('Smelter Look-up'!$I$4,$V43-4,0))</f>
        <v>Hyogo</v>
      </c>
      <c r="K43" s="150"/>
      <c r="L43" s="150"/>
      <c r="M43" s="150"/>
      <c r="N43" s="150"/>
      <c r="O43" s="150" t="s">
        <v>20080</v>
      </c>
      <c r="P43" s="209"/>
      <c r="Q43" s="151"/>
      <c r="R43" s="149" t="str">
        <f ca="1">IF(ISERROR($V43),"",OFFSET('Smelter Look-up'!$C$4,$V43-4,0)&amp;"")</f>
        <v>Harima Refinery, Sumitomo Metal Mining</v>
      </c>
      <c r="S43" s="155" t="str">
        <f t="shared" ca="1" si="3"/>
        <v>JP</v>
      </c>
      <c r="T43" s="155" t="str">
        <f ca="1">IF(B43="","",IF(ISERROR(MATCH($J43,SorP!$B$1:$B$6226,0)),"",INDIRECT("'SorP'!$A$"&amp;MATCH($S43&amp;$J43,SorP!C:C,0))))</f>
        <v>JP-28</v>
      </c>
      <c r="U43" s="168"/>
      <c r="V43" s="169">
        <f ca="1">IF(C43="",NA(),MATCH($B43&amp;$C43,'Smelter Look-up'!$J:$J,0))</f>
        <v>46</v>
      </c>
      <c r="X43" s="170">
        <f t="shared" ca="1" si="4"/>
        <v>0</v>
      </c>
      <c r="AB43" s="314" t="str">
        <f t="shared" ca="1" si="5"/>
        <v>Cobalt</v>
      </c>
    </row>
    <row r="44" spans="1:28" s="170" customFormat="1" ht="89.25">
      <c r="A44" s="155" t="s">
        <v>282</v>
      </c>
      <c r="B44" s="304" t="str">
        <f ca="1">IF(LEN(A44)=0,"",INDEX('Smelter Look-up'!$A:$A,MATCH($A44,'Smelter Look-up'!$E:$E,0)))</f>
        <v>Cobalt</v>
      </c>
      <c r="C44" s="152" t="str">
        <f ca="1">IF(LEN(A44)=0,"",INDEX('Smelter Look-up'!$C:$C,MATCH($A44,'Smelter Look-up'!$E:$E,0)))</f>
        <v>Vale - Long Harbour Processing Plant (LHPP)</v>
      </c>
      <c r="D44" s="149"/>
      <c r="E44" s="149" t="str">
        <f ca="1">IF(ISERROR($V44),"",OFFSET('Smelter Look-up'!$D$4,$V44-4,0)&amp;"")</f>
        <v>CANADA</v>
      </c>
      <c r="F44" s="149" t="str">
        <f ca="1">IF(ISERROR($V44),"",OFFSET('Smelter Look-up'!$E$4,$V44-4,0))</f>
        <v>CID003584</v>
      </c>
      <c r="G44" s="149" t="str">
        <f ca="1">IF(C44=$X$4,"Enter smelter details",IF(ISERROR($V44),"",OFFSET('Smelter Look-up'!$F$4,$V44-4,0)))</f>
        <v>RMI</v>
      </c>
      <c r="H44" s="206">
        <f ca="1">IF(ISERROR($V44),"",OFFSET('Smelter Look-up'!$G$4,$V44-4,0))</f>
        <v>0</v>
      </c>
      <c r="I44" s="207" t="str">
        <f ca="1">IF(ISERROR($V44),"",OFFSET('Smelter Look-up'!$H$4,$V44-4,0))</f>
        <v>Long Harbour</v>
      </c>
      <c r="J44" s="207" t="str">
        <f ca="1">IF(ISERROR($V44),"",OFFSET('Smelter Look-up'!$I$4,$V44-4,0))</f>
        <v>Newfoundland and Labrador</v>
      </c>
      <c r="K44" s="150"/>
      <c r="L44" s="150"/>
      <c r="M44" s="150"/>
      <c r="N44" s="150"/>
      <c r="O44" s="150" t="s">
        <v>20080</v>
      </c>
      <c r="P44" s="209"/>
      <c r="Q44" s="151"/>
      <c r="R44" s="149" t="str">
        <f ca="1">IF(ISERROR($V44),"",OFFSET('Smelter Look-up'!$C$4,$V44-4,0)&amp;"")</f>
        <v>Vale - Long Harbour Processing Plant (LHPP)</v>
      </c>
      <c r="S44" s="155" t="str">
        <f t="shared" ca="1" si="3"/>
        <v>CA</v>
      </c>
      <c r="T44" s="155" t="str">
        <f ca="1">IF(B44="","",IF(ISERROR(MATCH($J44,SorP!$B$1:$B$6226,0)),"",INDIRECT("'SorP'!$A$"&amp;MATCH($S44&amp;$J44,SorP!C:C,0))))</f>
        <v>CA-NL</v>
      </c>
      <c r="U44" s="168"/>
      <c r="V44" s="169">
        <f ca="1">IF(C44="",NA(),MATCH($B44&amp;$C44,'Smelter Look-up'!$J:$J,0))</f>
        <v>155</v>
      </c>
      <c r="X44" s="170">
        <f t="shared" ca="1" si="4"/>
        <v>0</v>
      </c>
      <c r="AB44" s="314" t="str">
        <f t="shared" ca="1" si="5"/>
        <v>Cobalt</v>
      </c>
    </row>
    <row r="45" spans="1:28" s="170" customFormat="1" ht="153">
      <c r="A45" s="155" t="s">
        <v>128</v>
      </c>
      <c r="B45" s="304" t="str">
        <f ca="1">IF(LEN(A45)=0,"",INDEX('Smelter Look-up'!$A:$A,MATCH($A45,'Smelter Look-up'!$E:$E,0)))</f>
        <v>Cobalt</v>
      </c>
      <c r="C45" s="152" t="str">
        <f ca="1">IF(LEN(A45)=0,"",INDEX('Smelter Look-up'!$C:$C,MATCH($A45,'Smelter Look-up'!$E:$E,0)))</f>
        <v>Guizhou CNGR Resource Recycling Industry Development Co., Ltd.</v>
      </c>
      <c r="D45" s="149"/>
      <c r="E45" s="149" t="str">
        <f ca="1">IF(ISERROR($V45),"",OFFSET('Smelter Look-up'!$D$4,$V45-4,0)&amp;"")</f>
        <v>CHINA</v>
      </c>
      <c r="F45" s="149" t="str">
        <f ca="1">IF(ISERROR($V45),"",OFFSET('Smelter Look-up'!$E$4,$V45-4,0))</f>
        <v>CID003610</v>
      </c>
      <c r="G45" s="149" t="str">
        <f ca="1">IF(C45=$X$4,"Enter smelter details",IF(ISERROR($V45),"",OFFSET('Smelter Look-up'!$F$4,$V45-4,0)))</f>
        <v>RMI</v>
      </c>
      <c r="H45" s="206">
        <f ca="1">IF(ISERROR($V45),"",OFFSET('Smelter Look-up'!$G$4,$V45-4,0))</f>
        <v>0</v>
      </c>
      <c r="I45" s="207" t="str">
        <f ca="1">IF(ISERROR($V45),"",OFFSET('Smelter Look-up'!$H$4,$V45-4,0))</f>
        <v>Tongren</v>
      </c>
      <c r="J45" s="207" t="str">
        <f ca="1">IF(ISERROR($V45),"",OFFSET('Smelter Look-up'!$I$4,$V45-4,0))</f>
        <v>Guizhou Sheng</v>
      </c>
      <c r="K45" s="150"/>
      <c r="L45" s="150"/>
      <c r="M45" s="150"/>
      <c r="N45" s="150"/>
      <c r="O45" s="150" t="s">
        <v>20080</v>
      </c>
      <c r="P45" s="209"/>
      <c r="Q45" s="151"/>
      <c r="R45" s="149" t="str">
        <f ca="1">IF(ISERROR($V45),"",OFFSET('Smelter Look-up'!$C$4,$V45-4,0)&amp;"")</f>
        <v>Guizhou CNGR Resource Recycling Industry Development Co., Ltd.</v>
      </c>
      <c r="S45" s="155" t="str">
        <f t="shared" ca="1" si="3"/>
        <v>CN</v>
      </c>
      <c r="T45" s="155" t="str">
        <f ca="1">IF(B45="","",IF(ISERROR(MATCH($J45,SorP!$B$1:$B$6226,0)),"",INDIRECT("'SorP'!$A$"&amp;MATCH($S45&amp;$J45,SorP!C:C,0))))</f>
        <v>CN-GZ</v>
      </c>
      <c r="U45" s="168"/>
      <c r="V45" s="169">
        <f ca="1">IF(C45="",NA(),MATCH($B45&amp;$C45,'Smelter Look-up'!$J:$J,0))</f>
        <v>43</v>
      </c>
      <c r="X45" s="170">
        <f t="shared" ca="1" si="4"/>
        <v>0</v>
      </c>
      <c r="AB45" s="314" t="str">
        <f t="shared" ca="1" si="5"/>
        <v>Cobalt</v>
      </c>
    </row>
    <row r="46" spans="1:28" s="170" customFormat="1" ht="76.5">
      <c r="A46" s="155" t="s">
        <v>12044</v>
      </c>
      <c r="B46" s="304" t="str">
        <f ca="1">IF(LEN(A46)=0,"",INDEX('Smelter Look-up'!$A:$A,MATCH($A46,'Smelter Look-up'!$E:$E,0)))</f>
        <v>Cobalt</v>
      </c>
      <c r="C46" s="152" t="str">
        <f ca="1">IF(LEN(A46)=0,"",INDEX('Smelter Look-up'!$C:$C,MATCH($A46,'Smelter Look-up'!$E:$E,0)))</f>
        <v>Anhui Hanrui New Material Co., Ltd.</v>
      </c>
      <c r="D46" s="149"/>
      <c r="E46" s="149" t="str">
        <f ca="1">IF(ISERROR($V46),"",OFFSET('Smelter Look-up'!$D$4,$V46-4,0)&amp;"")</f>
        <v>CHINA</v>
      </c>
      <c r="F46" s="149" t="str">
        <f ca="1">IF(ISERROR($V46),"",OFFSET('Smelter Look-up'!$E$4,$V46-4,0))</f>
        <v>CID003927</v>
      </c>
      <c r="G46" s="149" t="str">
        <f ca="1">IF(C46=$X$4,"Enter smelter details",IF(ISERROR($V46),"",OFFSET('Smelter Look-up'!$F$4,$V46-4,0)))</f>
        <v>RMI</v>
      </c>
      <c r="H46" s="206">
        <f ca="1">IF(ISERROR($V46),"",OFFSET('Smelter Look-up'!$G$4,$V46-4,0))</f>
        <v>0</v>
      </c>
      <c r="I46" s="207" t="str">
        <f ca="1">IF(ISERROR($V46),"",OFFSET('Smelter Look-up'!$H$4,$V46-4,0))</f>
        <v>Chuzhou</v>
      </c>
      <c r="J46" s="207" t="str">
        <f ca="1">IF(ISERROR($V46),"",OFFSET('Smelter Look-up'!$I$4,$V46-4,0))</f>
        <v>Anhui Sheng</v>
      </c>
      <c r="K46" s="150"/>
      <c r="L46" s="150"/>
      <c r="M46" s="150"/>
      <c r="N46" s="150"/>
      <c r="O46" s="150" t="s">
        <v>20080</v>
      </c>
      <c r="P46" s="209"/>
      <c r="Q46" s="151"/>
      <c r="R46" s="149" t="str">
        <f ca="1">IF(ISERROR($V46),"",OFFSET('Smelter Look-up'!$C$4,$V46-4,0)&amp;"")</f>
        <v>Anhui Hanrui New Material Co., Ltd.</v>
      </c>
      <c r="S46" s="155" t="str">
        <f t="shared" ca="1" si="3"/>
        <v>CN</v>
      </c>
      <c r="T46" s="155" t="str">
        <f ca="1">IF(B46="","",IF(ISERROR(MATCH($J46,SorP!$B$1:$B$6226,0)),"",INDIRECT("'SorP'!$A$"&amp;MATCH($S46&amp;$J46,SorP!C:C,0))))</f>
        <v>CN-AH</v>
      </c>
      <c r="U46" s="168"/>
      <c r="V46" s="169">
        <f ca="1">IF(C46="",NA(),MATCH($B46&amp;$C46,'Smelter Look-up'!$J:$J,0))</f>
        <v>5</v>
      </c>
      <c r="X46" s="170">
        <f t="shared" ca="1" si="4"/>
        <v>0</v>
      </c>
      <c r="AB46" s="314" t="str">
        <f t="shared" ca="1" si="5"/>
        <v>Cobalt</v>
      </c>
    </row>
    <row r="47" spans="1:28" s="170" customFormat="1" ht="89.25">
      <c r="A47" s="155" t="s">
        <v>12046</v>
      </c>
      <c r="B47" s="304" t="str">
        <f ca="1">IF(LEN(A47)=0,"",INDEX('Smelter Look-up'!$A:$A,MATCH($A47,'Smelter Look-up'!$E:$E,0)))</f>
        <v>Cobalt</v>
      </c>
      <c r="C47" s="152" t="str">
        <f ca="1">IF(LEN(A47)=0,"",INDEX('Smelter Look-up'!$C:$C,MATCH($A47,'Smelter Look-up'!$E:$E,0)))</f>
        <v>Fujian Evergreen New Energy Technology Co.</v>
      </c>
      <c r="D47" s="149"/>
      <c r="E47" s="149" t="str">
        <f ca="1">IF(ISERROR($V47),"",OFFSET('Smelter Look-up'!$D$4,$V47-4,0)&amp;"")</f>
        <v>CHINA</v>
      </c>
      <c r="F47" s="149" t="str">
        <f ca="1">IF(ISERROR($V47),"",OFFSET('Smelter Look-up'!$E$4,$V47-4,0))</f>
        <v>CID003974</v>
      </c>
      <c r="G47" s="149" t="str">
        <f ca="1">IF(C47=$X$4,"Enter smelter details",IF(ISERROR($V47),"",OFFSET('Smelter Look-up'!$F$4,$V47-4,0)))</f>
        <v>RMI</v>
      </c>
      <c r="H47" s="206">
        <f ca="1">IF(ISERROR($V47),"",OFFSET('Smelter Look-up'!$G$4,$V47-4,0))</f>
        <v>0</v>
      </c>
      <c r="I47" s="207" t="str">
        <f ca="1">IF(ISERROR($V47),"",OFFSET('Smelter Look-up'!$H$4,$V47-4,0))</f>
        <v>Longyan City</v>
      </c>
      <c r="J47" s="207" t="str">
        <f ca="1">IF(ISERROR($V47),"",OFFSET('Smelter Look-up'!$I$4,$V47-4,0))</f>
        <v>Fujian Sheng</v>
      </c>
      <c r="K47" s="150"/>
      <c r="L47" s="150"/>
      <c r="M47" s="150"/>
      <c r="N47" s="150"/>
      <c r="O47" s="150" t="s">
        <v>20080</v>
      </c>
      <c r="P47" s="209"/>
      <c r="Q47" s="151"/>
      <c r="R47" s="149" t="str">
        <f ca="1">IF(ISERROR($V47),"",OFFSET('Smelter Look-up'!$C$4,$V47-4,0)&amp;"")</f>
        <v>Fujian Evergreen New Energy Technology Co.</v>
      </c>
      <c r="S47" s="155" t="str">
        <f t="shared" ca="1" si="3"/>
        <v>CN</v>
      </c>
      <c r="T47" s="155" t="str">
        <f ca="1">IF(B47="","",IF(ISERROR(MATCH($J47,SorP!$B$1:$B$6226,0)),"",INDIRECT("'SorP'!$A$"&amp;MATCH($S47&amp;$J47,SorP!C:C,0))))</f>
        <v>CN-FJ</v>
      </c>
      <c r="U47" s="168"/>
      <c r="V47" s="169">
        <f ca="1">IF(C47="",NA(),MATCH($B47&amp;$C47,'Smelter Look-up'!$J:$J,0))</f>
        <v>30</v>
      </c>
      <c r="X47" s="170">
        <f t="shared" ca="1" si="4"/>
        <v>0</v>
      </c>
      <c r="AB47" s="314" t="str">
        <f t="shared" ca="1" si="5"/>
        <v>Cobalt</v>
      </c>
    </row>
    <row r="48" spans="1:28" s="170" customFormat="1" ht="89.25">
      <c r="A48" s="155" t="s">
        <v>12051</v>
      </c>
      <c r="B48" s="304" t="str">
        <f ca="1">IF(LEN(A48)=0,"",INDEX('Smelter Look-up'!$A:$A,MATCH($A48,'Smelter Look-up'!$E:$E,0)))</f>
        <v>Cobalt</v>
      </c>
      <c r="C48" s="152" t="str">
        <f ca="1">IF(LEN(A48)=0,"",INDEX('Smelter Look-up'!$C:$C,MATCH($A48,'Smelter Look-up'!$E:$E,0)))</f>
        <v>Jiangxi Miracle Golden Tiger Cobalt Co. Ltd.</v>
      </c>
      <c r="D48" s="149"/>
      <c r="E48" s="149" t="str">
        <f ca="1">IF(ISERROR($V48),"",OFFSET('Smelter Look-up'!$D$4,$V48-4,0)&amp;"")</f>
        <v>CHINA</v>
      </c>
      <c r="F48" s="149" t="str">
        <f ca="1">IF(ISERROR($V48),"",OFFSET('Smelter Look-up'!$E$4,$V48-4,0))</f>
        <v>CID004003</v>
      </c>
      <c r="G48" s="149" t="str">
        <f ca="1">IF(C48=$X$4,"Enter smelter details",IF(ISERROR($V48),"",OFFSET('Smelter Look-up'!$F$4,$V48-4,0)))</f>
        <v>RMI</v>
      </c>
      <c r="H48" s="206">
        <f ca="1">IF(ISERROR($V48),"",OFFSET('Smelter Look-up'!$G$4,$V48-4,0))</f>
        <v>0</v>
      </c>
      <c r="I48" s="207" t="str">
        <f ca="1">IF(ISERROR($V48),"",OFFSET('Smelter Look-up'!$H$4,$V48-4,0))</f>
        <v>Ganzhou City</v>
      </c>
      <c r="J48" s="207" t="str">
        <f ca="1">IF(ISERROR($V48),"",OFFSET('Smelter Look-up'!$I$4,$V48-4,0))</f>
        <v>Jiangxi Sheng</v>
      </c>
      <c r="K48" s="150"/>
      <c r="L48" s="150"/>
      <c r="M48" s="150"/>
      <c r="N48" s="150"/>
      <c r="O48" s="150" t="s">
        <v>20080</v>
      </c>
      <c r="P48" s="209"/>
      <c r="Q48" s="151"/>
      <c r="R48" s="149" t="str">
        <f ca="1">IF(ISERROR($V48),"",OFFSET('Smelter Look-up'!$C$4,$V48-4,0)&amp;"")</f>
        <v>Jiangxi Miracle Golden Tiger Cobalt Co. Ltd.</v>
      </c>
      <c r="S48" s="155" t="str">
        <f t="shared" ca="1" si="3"/>
        <v>CN</v>
      </c>
      <c r="T48" s="155" t="str">
        <f ca="1">IF(B48="","",IF(ISERROR(MATCH($J48,SorP!$B$1:$B$6226,0)),"",INDIRECT("'SorP'!$A$"&amp;MATCH($S48&amp;$J48,SorP!C:C,0))))</f>
        <v>CN-JX</v>
      </c>
      <c r="U48" s="168"/>
      <c r="V48" s="169">
        <f ca="1">IF(C48="",NA(),MATCH($B48&amp;$C48,'Smelter Look-up'!$J:$J,0))</f>
        <v>70</v>
      </c>
      <c r="X48" s="170">
        <f t="shared" ca="1" si="4"/>
        <v>0</v>
      </c>
      <c r="AB48" s="314" t="str">
        <f t="shared" ca="1" si="5"/>
        <v>Cobalt</v>
      </c>
    </row>
    <row r="49" spans="1:28" s="170" customFormat="1" ht="38.25">
      <c r="A49" s="155" t="s">
        <v>12196</v>
      </c>
      <c r="B49" s="304" t="str">
        <f ca="1">IF(LEN(A49)=0,"",INDEX('Smelter Look-up'!$A:$A,MATCH($A49,'Smelter Look-up'!$E:$E,0)))</f>
        <v>Cobalt</v>
      </c>
      <c r="C49" s="152" t="str">
        <f ca="1">IF(LEN(A49)=0,"",INDEX('Smelter Look-up'!$C:$C,MATCH($A49,'Smelter Look-up'!$E:$E,0)))</f>
        <v>Eti Bakir A.S</v>
      </c>
      <c r="D49" s="149"/>
      <c r="E49" s="149" t="str">
        <f ca="1">IF(ISERROR($V49),"",OFFSET('Smelter Look-up'!$D$4,$V49-4,0)&amp;"")</f>
        <v>TURKEY</v>
      </c>
      <c r="F49" s="149" t="str">
        <f ca="1">IF(ISERROR($V49),"",OFFSET('Smelter Look-up'!$E$4,$V49-4,0))</f>
        <v>CID004057</v>
      </c>
      <c r="G49" s="149" t="str">
        <f ca="1">IF(C49=$X$4,"Enter smelter details",IF(ISERROR($V49),"",OFFSET('Smelter Look-up'!$F$4,$V49-4,0)))</f>
        <v>RMI</v>
      </c>
      <c r="H49" s="206">
        <f ca="1">IF(ISERROR($V49),"",OFFSET('Smelter Look-up'!$G$4,$V49-4,0))</f>
        <v>0</v>
      </c>
      <c r="I49" s="207" t="str">
        <f ca="1">IF(ISERROR($V49),"",OFFSET('Smelter Look-up'!$H$4,$V49-4,0))</f>
        <v>Mardin</v>
      </c>
      <c r="J49" s="207" t="str">
        <f ca="1">IF(ISERROR($V49),"",OFFSET('Smelter Look-up'!$I$4,$V49-4,0))</f>
        <v>Mardin</v>
      </c>
      <c r="K49" s="150"/>
      <c r="L49" s="150"/>
      <c r="M49" s="150"/>
      <c r="N49" s="150"/>
      <c r="O49" s="150" t="s">
        <v>20080</v>
      </c>
      <c r="P49" s="209"/>
      <c r="Q49" s="151"/>
      <c r="R49" s="149" t="str">
        <f ca="1">IF(ISERROR($V49),"",OFFSET('Smelter Look-up'!$C$4,$V49-4,0)&amp;"")</f>
        <v>Eti Bakir A.S</v>
      </c>
      <c r="S49" s="155" t="str">
        <f t="shared" ca="1" si="3"/>
        <v>TR</v>
      </c>
      <c r="T49" s="155" t="str">
        <f ca="1">IF(B49="","",IF(ISERROR(MATCH($J49,SorP!$B$1:$B$6226,0)),"",INDIRECT("'SorP'!$A$"&amp;MATCH($S49&amp;$J49,SorP!C:C,0))))</f>
        <v>TR-47</v>
      </c>
      <c r="U49" s="168"/>
      <c r="V49" s="169">
        <f ca="1">IF(C49="",NA(),MATCH($B49&amp;$C49,'Smelter Look-up'!$J:$J,0))</f>
        <v>23</v>
      </c>
      <c r="X49" s="170">
        <f t="shared" ca="1" si="4"/>
        <v>0</v>
      </c>
      <c r="AB49" s="314" t="str">
        <f t="shared" ca="1" si="5"/>
        <v>Cobalt</v>
      </c>
    </row>
    <row r="50" spans="1:28" s="170" customFormat="1" ht="102">
      <c r="A50" s="155" t="s">
        <v>12198</v>
      </c>
      <c r="B50" s="304" t="str">
        <f ca="1">IF(LEN(A50)=0,"",INDEX('Smelter Look-up'!$A:$A,MATCH($A50,'Smelter Look-up'!$E:$E,0)))</f>
        <v>Cobalt</v>
      </c>
      <c r="C50" s="152" t="str">
        <f ca="1">IF(LEN(A50)=0,"",INDEX('Smelter Look-up'!$C:$C,MATCH($A50,'Smelter Look-up'!$E:$E,0)))</f>
        <v>Guizhou Red Star Electronic Material Co., Ltd.</v>
      </c>
      <c r="D50" s="149"/>
      <c r="E50" s="149" t="str">
        <f ca="1">IF(ISERROR($V50),"",OFFSET('Smelter Look-up'!$D$4,$V50-4,0)&amp;"")</f>
        <v>CHINA</v>
      </c>
      <c r="F50" s="149" t="str">
        <f ca="1">IF(ISERROR($V50),"",OFFSET('Smelter Look-up'!$E$4,$V50-4,0))</f>
        <v>CID004391</v>
      </c>
      <c r="G50" s="149" t="str">
        <f ca="1">IF(C50=$X$4,"Enter smelter details",IF(ISERROR($V50),"",OFFSET('Smelter Look-up'!$F$4,$V50-4,0)))</f>
        <v>RMI</v>
      </c>
      <c r="H50" s="206">
        <f ca="1">IF(ISERROR($V50),"",OFFSET('Smelter Look-up'!$G$4,$V50-4,0))</f>
        <v>0</v>
      </c>
      <c r="I50" s="207" t="str">
        <f ca="1">IF(ISERROR($V50),"",OFFSET('Smelter Look-up'!$H$4,$V50-4,0))</f>
        <v>Tongren</v>
      </c>
      <c r="J50" s="207" t="str">
        <f ca="1">IF(ISERROR($V50),"",OFFSET('Smelter Look-up'!$I$4,$V50-4,0))</f>
        <v>Guizhou Sheng</v>
      </c>
      <c r="K50" s="150"/>
      <c r="L50" s="150"/>
      <c r="M50" s="150"/>
      <c r="N50" s="150"/>
      <c r="O50" s="150" t="s">
        <v>20080</v>
      </c>
      <c r="P50" s="209"/>
      <c r="Q50" s="151"/>
      <c r="R50" s="149" t="str">
        <f ca="1">IF(ISERROR($V50),"",OFFSET('Smelter Look-up'!$C$4,$V50-4,0)&amp;"")</f>
        <v>Guizhou Red Star Electronic Material Co., Ltd.</v>
      </c>
      <c r="S50" s="155" t="str">
        <f t="shared" ca="1" si="3"/>
        <v>CN</v>
      </c>
      <c r="T50" s="155" t="str">
        <f ca="1">IF(B50="","",IF(ISERROR(MATCH($J50,SorP!$B$1:$B$6226,0)),"",INDIRECT("'SorP'!$A$"&amp;MATCH($S50&amp;$J50,SorP!C:C,0))))</f>
        <v>CN-GZ</v>
      </c>
      <c r="U50" s="168"/>
      <c r="V50" s="169">
        <f ca="1">IF(C50="",NA(),MATCH($B50&amp;$C50,'Smelter Look-up'!$J:$J,0))</f>
        <v>44</v>
      </c>
      <c r="X50" s="170">
        <f t="shared" ca="1" si="4"/>
        <v>0</v>
      </c>
      <c r="AB50" s="314" t="str">
        <f t="shared" ca="1" si="5"/>
        <v>Cobalt</v>
      </c>
    </row>
    <row r="51" spans="1:28" s="170" customFormat="1" ht="63.75">
      <c r="A51" s="155" t="s">
        <v>12203</v>
      </c>
      <c r="B51" s="304" t="str">
        <f ca="1">IF(LEN(A51)=0,"",INDEX('Smelter Look-up'!$A:$A,MATCH($A51,'Smelter Look-up'!$E:$E,0)))</f>
        <v>Cobalt</v>
      </c>
      <c r="C51" s="152" t="str">
        <f ca="1">IF(LEN(A51)=0,"",INDEX('Smelter Look-up'!$C:$C,MATCH($A51,'Smelter Look-up'!$E:$E,0)))</f>
        <v>Lianyou Resources Co., Ltd.</v>
      </c>
      <c r="D51" s="149"/>
      <c r="E51" s="149" t="str">
        <f ca="1">IF(ISERROR($V51),"",OFFSET('Smelter Look-up'!$D$4,$V51-4,0)&amp;"")</f>
        <v>TAIWAN, PROVINCE OF CHINA</v>
      </c>
      <c r="F51" s="149" t="str">
        <f ca="1">IF(ISERROR($V51),"",OFFSET('Smelter Look-up'!$E$4,$V51-4,0))</f>
        <v>CID004393</v>
      </c>
      <c r="G51" s="149" t="str">
        <f ca="1">IF(C51=$X$4,"Enter smelter details",IF(ISERROR($V51),"",OFFSET('Smelter Look-up'!$F$4,$V51-4,0)))</f>
        <v>RMI</v>
      </c>
      <c r="H51" s="206">
        <f ca="1">IF(ISERROR($V51),"",OFFSET('Smelter Look-up'!$G$4,$V51-4,0))</f>
        <v>0</v>
      </c>
      <c r="I51" s="207" t="str">
        <f ca="1">IF(ISERROR($V51),"",OFFSET('Smelter Look-up'!$H$4,$V51-4,0))</f>
        <v>Wujie</v>
      </c>
      <c r="J51" s="207" t="str">
        <f ca="1">IF(ISERROR($V51),"",OFFSET('Smelter Look-up'!$I$4,$V51-4,0))</f>
        <v>Yilan</v>
      </c>
      <c r="K51" s="150"/>
      <c r="L51" s="150"/>
      <c r="M51" s="150"/>
      <c r="N51" s="150"/>
      <c r="O51" s="150" t="s">
        <v>20080</v>
      </c>
      <c r="P51" s="209"/>
      <c r="Q51" s="151"/>
      <c r="R51" s="149" t="str">
        <f ca="1">IF(ISERROR($V51),"",OFFSET('Smelter Look-up'!$C$4,$V51-4,0)&amp;"")</f>
        <v>Lianyou Resources Co., Ltd.</v>
      </c>
      <c r="S51" s="155" t="str">
        <f t="shared" ca="1" si="3"/>
        <v>TW</v>
      </c>
      <c r="T51" s="155" t="str">
        <f ca="1">IF(B51="","",IF(ISERROR(MATCH($J51,SorP!$B$1:$B$6226,0)),"",INDIRECT("'SorP'!$A$"&amp;MATCH($S51&amp;$J51,SorP!C:C,0))))</f>
        <v>TW-ILA</v>
      </c>
      <c r="U51" s="168"/>
      <c r="V51" s="169">
        <f ca="1">IF(C51="",NA(),MATCH($B51&amp;$C51,'Smelter Look-up'!$J:$J,0))</f>
        <v>89</v>
      </c>
      <c r="X51" s="170">
        <f t="shared" ca="1" si="4"/>
        <v>0</v>
      </c>
      <c r="AB51" s="314" t="str">
        <f t="shared" ca="1" si="5"/>
        <v>Cobalt</v>
      </c>
    </row>
    <row r="52" spans="1:28" s="170" customFormat="1" ht="51">
      <c r="A52" s="155" t="s">
        <v>12205</v>
      </c>
      <c r="B52" s="304" t="str">
        <f ca="1">IF(LEN(A52)=0,"",INDEX('Smelter Look-up'!$A:$A,MATCH($A52,'Smelter Look-up'!$E:$E,0)))</f>
        <v>Cobalt</v>
      </c>
      <c r="C52" s="152" t="str">
        <f ca="1">IF(LEN(A52)=0,"",INDEX('Smelter Look-up'!$C:$C,MATCH($A52,'Smelter Look-up'!$E:$E,0)))</f>
        <v>Mutanda Mining SPRL</v>
      </c>
      <c r="D52" s="149"/>
      <c r="E52" s="149" t="str">
        <f ca="1">IF(ISERROR($V52),"",OFFSET('Smelter Look-up'!$D$4,$V52-4,0)&amp;"")</f>
        <v>CONGO, DEMOCRATIC REPUBLIC OF THE</v>
      </c>
      <c r="F52" s="149" t="str">
        <f ca="1">IF(ISERROR($V52),"",OFFSET('Smelter Look-up'!$E$4,$V52-4,0))</f>
        <v>CID003301</v>
      </c>
      <c r="G52" s="149" t="str">
        <f ca="1">IF(C52=$X$4,"Enter smelter details",IF(ISERROR($V52),"",OFFSET('Smelter Look-up'!$F$4,$V52-4,0)))</f>
        <v>RMI</v>
      </c>
      <c r="H52" s="206">
        <f ca="1">IF(ISERROR($V52),"",OFFSET('Smelter Look-up'!$G$4,$V52-4,0))</f>
        <v>0</v>
      </c>
      <c r="I52" s="207" t="str">
        <f ca="1">IF(ISERROR($V52),"",OFFSET('Smelter Look-up'!$H$4,$V52-4,0))</f>
        <v>Kolwezi</v>
      </c>
      <c r="J52" s="207" t="str">
        <f ca="1">IF(ISERROR($V52),"",OFFSET('Smelter Look-up'!$I$4,$V52-4,0))</f>
        <v>Lualaba</v>
      </c>
      <c r="K52" s="150"/>
      <c r="L52" s="150"/>
      <c r="M52" s="150"/>
      <c r="N52" s="150"/>
      <c r="O52" s="150" t="s">
        <v>20080</v>
      </c>
      <c r="P52" s="209"/>
      <c r="Q52" s="151"/>
      <c r="R52" s="149" t="str">
        <f ca="1">IF(ISERROR($V52),"",OFFSET('Smelter Look-up'!$C$4,$V52-4,0)&amp;"")</f>
        <v>Mutanda Mining SPRL</v>
      </c>
      <c r="S52" s="155" t="str">
        <f t="shared" ca="1" si="3"/>
        <v>CD</v>
      </c>
      <c r="T52" s="155" t="str">
        <f ca="1">IF(B52="","",IF(ISERROR(MATCH($J52,SorP!$B$1:$B$6226,0)),"",INDIRECT("'SorP'!$A$"&amp;MATCH($S52&amp;$J52,SorP!C:C,0))))</f>
        <v>CD-LU</v>
      </c>
      <c r="U52" s="168"/>
      <c r="V52" s="169">
        <f ca="1">IF(C52="",NA(),MATCH($B52&amp;$C52,'Smelter Look-up'!$J:$J,0))</f>
        <v>111</v>
      </c>
      <c r="X52" s="170">
        <f t="shared" ca="1" si="4"/>
        <v>0</v>
      </c>
      <c r="AB52" s="314" t="str">
        <f t="shared" ca="1" si="5"/>
        <v>Cobalt</v>
      </c>
    </row>
    <row r="53" spans="1:28" s="170" customFormat="1" ht="38.25">
      <c r="A53" s="155" t="s">
        <v>12201</v>
      </c>
      <c r="B53" s="304" t="str">
        <f ca="1">IF(LEN(A53)=0,"",INDEX('Smelter Look-up'!$A:$A,MATCH($A53,'Smelter Look-up'!$E:$E,0)))</f>
        <v>Cobalt</v>
      </c>
      <c r="C53" s="152" t="str">
        <f ca="1">IF(LEN(A53)=0,"",INDEX('Smelter Look-up'!$C:$C,MATCH($A53,'Smelter Look-up'!$E:$E,0)))</f>
        <v>Kisanfu Mining (Kimin)</v>
      </c>
      <c r="D53" s="149"/>
      <c r="E53" s="149" t="str">
        <f ca="1">IF(ISERROR($V53),"",OFFSET('Smelter Look-up'!$D$4,$V53-4,0)&amp;"")</f>
        <v>CONGO, DEMOCRATIC REPUBLIC OF THE</v>
      </c>
      <c r="F53" s="149" t="str">
        <f ca="1">IF(ISERROR($V53),"",OFFSET('Smelter Look-up'!$E$4,$V53-4,0))</f>
        <v>CID003587</v>
      </c>
      <c r="G53" s="149" t="str">
        <f ca="1">IF(C53=$X$4,"Enter smelter details",IF(ISERROR($V53),"",OFFSET('Smelter Look-up'!$F$4,$V53-4,0)))</f>
        <v>RMI</v>
      </c>
      <c r="H53" s="206">
        <f ca="1">IF(ISERROR($V53),"",OFFSET('Smelter Look-up'!$G$4,$V53-4,0))</f>
        <v>0</v>
      </c>
      <c r="I53" s="207" t="str">
        <f ca="1">IF(ISERROR($V53),"",OFFSET('Smelter Look-up'!$H$4,$V53-4,0))</f>
        <v>Kolwezi</v>
      </c>
      <c r="J53" s="207" t="str">
        <f ca="1">IF(ISERROR($V53),"",OFFSET('Smelter Look-up'!$I$4,$V53-4,0))</f>
        <v>Lualaba</v>
      </c>
      <c r="K53" s="150"/>
      <c r="L53" s="150"/>
      <c r="M53" s="150"/>
      <c r="N53" s="150"/>
      <c r="O53" s="150" t="s">
        <v>20080</v>
      </c>
      <c r="P53" s="209"/>
      <c r="Q53" s="151"/>
      <c r="R53" s="149" t="str">
        <f ca="1">IF(ISERROR($V53),"",OFFSET('Smelter Look-up'!$C$4,$V53-4,0)&amp;"")</f>
        <v>Kisanfu Mining (Kimin)</v>
      </c>
      <c r="S53" s="155" t="str">
        <f t="shared" ca="1" si="3"/>
        <v>CD</v>
      </c>
      <c r="T53" s="155" t="str">
        <f ca="1">IF(B53="","",IF(ISERROR(MATCH($J53,SorP!$B$1:$B$6226,0)),"",INDIRECT("'SorP'!$A$"&amp;MATCH($S53&amp;$J53,SorP!C:C,0))))</f>
        <v>CD-LU</v>
      </c>
      <c r="U53" s="168"/>
      <c r="V53" s="169">
        <f ca="1">IF(C53="",NA(),MATCH($B53&amp;$C53,'Smelter Look-up'!$J:$J,0))</f>
        <v>81</v>
      </c>
      <c r="X53" s="170">
        <f t="shared" ca="1" si="4"/>
        <v>0</v>
      </c>
      <c r="AB53" s="314" t="str">
        <f t="shared" ca="1" si="5"/>
        <v>Cobalt</v>
      </c>
    </row>
    <row r="54" spans="1:28" s="170" customFormat="1" ht="63.75">
      <c r="A54" s="155" t="s">
        <v>12278</v>
      </c>
      <c r="B54" s="304" t="str">
        <f ca="1">IF(LEN(A54)=0,"",INDEX('Smelter Look-up'!$A:$A,MATCH($A54,'Smelter Look-up'!$E:$E,0)))</f>
        <v>Cobalt</v>
      </c>
      <c r="C54" s="152" t="str">
        <f ca="1">IF(LEN(A54)=0,"",INDEX('Smelter Look-up'!$C:$C,MATCH($A54,'Smelter Look-up'!$E:$E,0)))</f>
        <v>PT QMB New Energy Materials</v>
      </c>
      <c r="D54" s="149"/>
      <c r="E54" s="149" t="str">
        <f ca="1">IF(ISERROR($V54),"",OFFSET('Smelter Look-up'!$D$4,$V54-4,0)&amp;"")</f>
        <v>INDONESIA</v>
      </c>
      <c r="F54" s="149" t="str">
        <f ca="1">IF(ISERROR($V54),"",OFFSET('Smelter Look-up'!$E$4,$V54-4,0))</f>
        <v>CID004731</v>
      </c>
      <c r="G54" s="149" t="str">
        <f ca="1">IF(C54=$X$4,"Enter smelter details",IF(ISERROR($V54),"",OFFSET('Smelter Look-up'!$F$4,$V54-4,0)))</f>
        <v>RMI</v>
      </c>
      <c r="H54" s="206">
        <f ca="1">IF(ISERROR($V54),"",OFFSET('Smelter Look-up'!$G$4,$V54-4,0))</f>
        <v>0</v>
      </c>
      <c r="I54" s="207" t="str">
        <f ca="1">IF(ISERROR($V54),"",OFFSET('Smelter Look-up'!$H$4,$V54-4,0))</f>
        <v>Morowali Regency</v>
      </c>
      <c r="J54" s="207" t="str">
        <f ca="1">IF(ISERROR($V54),"",OFFSET('Smelter Look-up'!$I$4,$V54-4,0))</f>
        <v>Sulawesi Tengah</v>
      </c>
      <c r="K54" s="150"/>
      <c r="L54" s="150"/>
      <c r="M54" s="150"/>
      <c r="N54" s="150"/>
      <c r="O54" s="150" t="s">
        <v>20080</v>
      </c>
      <c r="P54" s="209"/>
      <c r="Q54" s="151"/>
      <c r="R54" s="149" t="str">
        <f ca="1">IF(ISERROR($V54),"",OFFSET('Smelter Look-up'!$C$4,$V54-4,0)&amp;"")</f>
        <v>PT QMB New Energy Materials</v>
      </c>
      <c r="S54" s="155" t="str">
        <f t="shared" ca="1" si="3"/>
        <v>ID</v>
      </c>
      <c r="T54" s="155" t="str">
        <f ca="1">IF(B54="","",IF(ISERROR(MATCH($J54,SorP!$B$1:$B$6226,0)),"",INDIRECT("'SorP'!$A$"&amp;MATCH($S54&amp;$J54,SorP!C:C,0))))</f>
        <v>ID-ST</v>
      </c>
      <c r="U54" s="168"/>
      <c r="V54" s="169">
        <f ca="1">IF(C54="",NA(),MATCH($B54&amp;$C54,'Smelter Look-up'!$J:$J,0))</f>
        <v>132</v>
      </c>
      <c r="X54" s="170">
        <f t="shared" ca="1" si="4"/>
        <v>0</v>
      </c>
      <c r="AB54" s="314" t="str">
        <f t="shared" ca="1" si="5"/>
        <v>Cobalt</v>
      </c>
    </row>
    <row r="55" spans="1:28" s="170" customFormat="1" ht="38.25">
      <c r="A55" s="155" t="s">
        <v>82</v>
      </c>
      <c r="B55" s="304" t="str">
        <f ca="1">IF(LEN(A55)=0,"",INDEX('Smelter Look-up'!$A:$A,MATCH($A55,'Smelter Look-up'!$E:$E,0)))</f>
        <v>Cobalt</v>
      </c>
      <c r="C55" s="152" t="str">
        <f ca="1">IF(LEN(A55)=0,"",INDEX('Smelter Look-up'!$C:$C,MATCH($A55,'Smelter Look-up'!$E:$E,0)))</f>
        <v>Cosmo Chemical, Ltd.</v>
      </c>
      <c r="D55" s="149"/>
      <c r="E55" s="149" t="str">
        <f ca="1">IF(ISERROR($V55),"",OFFSET('Smelter Look-up'!$D$4,$V55-4,0)&amp;"")</f>
        <v>KOREA, REPUBLIC OF</v>
      </c>
      <c r="F55" s="149" t="str">
        <f ca="1">IF(ISERROR($V55),"",OFFSET('Smelter Look-up'!$E$4,$V55-4,0))</f>
        <v>CID003415</v>
      </c>
      <c r="G55" s="149" t="str">
        <f ca="1">IF(C55=$X$4,"Enter smelter details",IF(ISERROR($V55),"",OFFSET('Smelter Look-up'!$F$4,$V55-4,0)))</f>
        <v>RMI</v>
      </c>
      <c r="H55" s="206">
        <f ca="1">IF(ISERROR($V55),"",OFFSET('Smelter Look-up'!$G$4,$V55-4,0))</f>
        <v>0</v>
      </c>
      <c r="I55" s="207" t="str">
        <f ca="1">IF(ISERROR($V55),"",OFFSET('Smelter Look-up'!$H$4,$V55-4,0))</f>
        <v>Ulsan</v>
      </c>
      <c r="J55" s="207" t="str">
        <f ca="1">IF(ISERROR($V55),"",OFFSET('Smelter Look-up'!$I$4,$V55-4,0))</f>
        <v>Gyeongsangnam-do</v>
      </c>
      <c r="K55" s="150"/>
      <c r="L55" s="150"/>
      <c r="M55" s="150"/>
      <c r="N55" s="150"/>
      <c r="O55" s="150" t="s">
        <v>20080</v>
      </c>
      <c r="P55" s="209"/>
      <c r="Q55" s="151"/>
      <c r="R55" s="149" t="str">
        <f ca="1">IF(ISERROR($V55),"",OFFSET('Smelter Look-up'!$C$4,$V55-4,0)&amp;"")</f>
        <v>Cosmo Chemical, Ltd.</v>
      </c>
      <c r="S55" s="155" t="str">
        <f t="shared" ca="1" si="3"/>
        <v>KR</v>
      </c>
      <c r="T55" s="155" t="str">
        <f ca="1">IF(B55="","",IF(ISERROR(MATCH($J55,SorP!$B$1:$B$6226,0)),"",INDIRECT("'SorP'!$A$"&amp;MATCH($S55&amp;$J55,SorP!C:C,0))))</f>
        <v>KR-48</v>
      </c>
      <c r="U55" s="168"/>
      <c r="V55" s="169">
        <f ca="1">IF(C55="",NA(),MATCH($B55&amp;$C55,'Smelter Look-up'!$J:$J,0))</f>
        <v>19</v>
      </c>
      <c r="X55" s="170">
        <f t="shared" ca="1" si="4"/>
        <v>0</v>
      </c>
      <c r="AB55" s="314" t="str">
        <f t="shared" ca="1" si="5"/>
        <v>Cobalt</v>
      </c>
    </row>
    <row r="56" spans="1:28" s="170" customFormat="1" ht="102">
      <c r="A56" s="155" t="s">
        <v>148</v>
      </c>
      <c r="B56" s="304" t="str">
        <f ca="1">IF(LEN(A56)=0,"",INDEX('Smelter Look-up'!$A:$A,MATCH($A56,'Smelter Look-up'!$E:$E,0)))</f>
        <v>Cobalt</v>
      </c>
      <c r="C56" s="152" t="str">
        <f ca="1">IF(LEN(A56)=0,"",INDEX('Smelter Look-up'!$C:$C,MATCH($A56,'Smelter Look-up'!$E:$E,0)))</f>
        <v>Hunan Jinxin New Material Holding Co., Ltd.</v>
      </c>
      <c r="D56" s="149"/>
      <c r="E56" s="149" t="str">
        <f ca="1">IF(ISERROR($V56),"",OFFSET('Smelter Look-up'!$D$4,$V56-4,0)&amp;"")</f>
        <v>CHINA</v>
      </c>
      <c r="F56" s="149" t="str">
        <f ca="1">IF(ISERROR($V56),"",OFFSET('Smelter Look-up'!$E$4,$V56-4,0))</f>
        <v>CID003470</v>
      </c>
      <c r="G56" s="149" t="str">
        <f ca="1">IF(C56=$X$4,"Enter smelter details",IF(ISERROR($V56),"",OFFSET('Smelter Look-up'!$F$4,$V56-4,0)))</f>
        <v>RMI</v>
      </c>
      <c r="H56" s="206">
        <f ca="1">IF(ISERROR($V56),"",OFFSET('Smelter Look-up'!$G$4,$V56-4,0))</f>
        <v>0</v>
      </c>
      <c r="I56" s="207" t="str">
        <f ca="1">IF(ISERROR($V56),"",OFFSET('Smelter Look-up'!$H$4,$V56-4,0))</f>
        <v>Yiyang</v>
      </c>
      <c r="J56" s="207" t="str">
        <f ca="1">IF(ISERROR($V56),"",OFFSET('Smelter Look-up'!$I$4,$V56-4,0))</f>
        <v>Hunan Sheng</v>
      </c>
      <c r="K56" s="150"/>
      <c r="L56" s="150"/>
      <c r="M56" s="150"/>
      <c r="N56" s="150"/>
      <c r="O56" s="150" t="s">
        <v>20080</v>
      </c>
      <c r="P56" s="209"/>
      <c r="Q56" s="151"/>
      <c r="R56" s="149" t="str">
        <f ca="1">IF(ISERROR($V56),"",OFFSET('Smelter Look-up'!$C$4,$V56-4,0)&amp;"")</f>
        <v>Hunan Jinxin New Material Holding Co., Ltd.</v>
      </c>
      <c r="S56" s="155" t="str">
        <f t="shared" ca="1" si="3"/>
        <v>CN</v>
      </c>
      <c r="T56" s="155" t="str">
        <f ca="1">IF(B56="","",IF(ISERROR(MATCH($J56,SorP!$B$1:$B$6226,0)),"",INDIRECT("'SorP'!$A$"&amp;MATCH($S56&amp;$J56,SorP!C:C,0))))</f>
        <v>CN-HN</v>
      </c>
      <c r="U56" s="168"/>
      <c r="V56" s="169">
        <f ca="1">IF(C56="",NA(),MATCH($B56&amp;$C56,'Smelter Look-up'!$J:$J,0))</f>
        <v>51</v>
      </c>
      <c r="X56" s="170">
        <f t="shared" ca="1" si="4"/>
        <v>0</v>
      </c>
      <c r="AB56" s="314" t="str">
        <f t="shared" ca="1" si="5"/>
        <v>Cobalt</v>
      </c>
    </row>
    <row r="57" spans="1:28" s="170" customFormat="1" ht="102">
      <c r="A57" s="155" t="s">
        <v>66</v>
      </c>
      <c r="B57" s="304" t="str">
        <f ca="1">IF(LEN(A57)=0,"",INDEX('Smelter Look-up'!$A:$A,MATCH($A57,'Smelter Look-up'!$E:$E,0)))</f>
        <v>Cobalt</v>
      </c>
      <c r="C57" s="152" t="str">
        <f ca="1">IF(LEN(A57)=0,"",INDEX('Smelter Look-up'!$C:$C,MATCH($A57,'Smelter Look-up'!$E:$E,0)))</f>
        <v>Chizhou CN New Materials and Technology Co., Ltd.</v>
      </c>
      <c r="D57" s="149"/>
      <c r="E57" s="149" t="str">
        <f ca="1">IF(ISERROR($V57),"",OFFSET('Smelter Look-up'!$D$4,$V57-4,0)&amp;"")</f>
        <v>CHINA</v>
      </c>
      <c r="F57" s="149" t="str">
        <f ca="1">IF(ISERROR($V57),"",OFFSET('Smelter Look-up'!$E$4,$V57-4,0))</f>
        <v>CID003481</v>
      </c>
      <c r="G57" s="149" t="str">
        <f ca="1">IF(C57=$X$4,"Enter smelter details",IF(ISERROR($V57),"",OFFSET('Smelter Look-up'!$F$4,$V57-4,0)))</f>
        <v>RMI</v>
      </c>
      <c r="H57" s="206">
        <f ca="1">IF(ISERROR($V57),"",OFFSET('Smelter Look-up'!$G$4,$V57-4,0))</f>
        <v>0</v>
      </c>
      <c r="I57" s="207" t="str">
        <f ca="1">IF(ISERROR($V57),"",OFFSET('Smelter Look-up'!$H$4,$V57-4,0))</f>
        <v>Chizhou</v>
      </c>
      <c r="J57" s="207" t="str">
        <f ca="1">IF(ISERROR($V57),"",OFFSET('Smelter Look-up'!$I$4,$V57-4,0))</f>
        <v>Anhui Sheng</v>
      </c>
      <c r="K57" s="150"/>
      <c r="L57" s="150"/>
      <c r="M57" s="150"/>
      <c r="N57" s="150"/>
      <c r="O57" s="150" t="s">
        <v>20080</v>
      </c>
      <c r="P57" s="209"/>
      <c r="Q57" s="151"/>
      <c r="R57" s="149" t="str">
        <f ca="1">IF(ISERROR($V57),"",OFFSET('Smelter Look-up'!$C$4,$V57-4,0)&amp;"")</f>
        <v>Chizhou CN New Materials and Technology Co., Ltd.</v>
      </c>
      <c r="S57" s="155" t="str">
        <f t="shared" ca="1" si="3"/>
        <v>CN</v>
      </c>
      <c r="T57" s="155" t="str">
        <f ca="1">IF(B57="","",IF(ISERROR(MATCH($J57,SorP!$B$1:$B$6226,0)),"",INDIRECT("'SorP'!$A$"&amp;MATCH($S57&amp;$J57,SorP!C:C,0))))</f>
        <v>CN-AH</v>
      </c>
      <c r="U57" s="168"/>
      <c r="V57" s="169">
        <f ca="1">IF(C57="",NA(),MATCH($B57&amp;$C57,'Smelter Look-up'!$J:$J,0))</f>
        <v>8</v>
      </c>
      <c r="X57" s="170">
        <f t="shared" ca="1" si="4"/>
        <v>0</v>
      </c>
      <c r="AB57" s="314" t="str">
        <f t="shared" ca="1" si="5"/>
        <v>Cobalt</v>
      </c>
    </row>
    <row r="58" spans="1:28" s="170" customFormat="1" ht="114.75">
      <c r="A58" s="155" t="s">
        <v>12049</v>
      </c>
      <c r="B58" s="304" t="str">
        <f ca="1">IF(LEN(A58)=0,"",INDEX('Smelter Look-up'!$A:$A,MATCH($A58,'Smelter Look-up'!$E:$E,0)))</f>
        <v>Cobalt</v>
      </c>
      <c r="C58" s="152" t="str">
        <f ca="1">IF(LEN(A58)=0,"",INDEX('Smelter Look-up'!$C:$C,MATCH($A58,'Smelter Look-up'!$E:$E,0)))</f>
        <v>Guangdong Fangyuan New Materials Group Co., Ltd.</v>
      </c>
      <c r="D58" s="149"/>
      <c r="E58" s="149" t="str">
        <f ca="1">IF(ISERROR($V58),"",OFFSET('Smelter Look-up'!$D$4,$V58-4,0)&amp;"")</f>
        <v>CHINA</v>
      </c>
      <c r="F58" s="149" t="str">
        <f ca="1">IF(ISERROR($V58),"",OFFSET('Smelter Look-up'!$E$4,$V58-4,0))</f>
        <v>CID003940</v>
      </c>
      <c r="G58" s="149" t="str">
        <f ca="1">IF(C58=$X$4,"Enter smelter details",IF(ISERROR($V58),"",OFFSET('Smelter Look-up'!$F$4,$V58-4,0)))</f>
        <v>RMI</v>
      </c>
      <c r="H58" s="206">
        <f ca="1">IF(ISERROR($V58),"",OFFSET('Smelter Look-up'!$G$4,$V58-4,0))</f>
        <v>0</v>
      </c>
      <c r="I58" s="207" t="str">
        <f ca="1">IF(ISERROR($V58),"",OFFSET('Smelter Look-up'!$H$4,$V58-4,0))</f>
        <v>Jiangmen City</v>
      </c>
      <c r="J58" s="207" t="str">
        <f ca="1">IF(ISERROR($V58),"",OFFSET('Smelter Look-up'!$I$4,$V58-4,0))</f>
        <v>Guangdong Sheng</v>
      </c>
      <c r="K58" s="150"/>
      <c r="L58" s="150"/>
      <c r="M58" s="150"/>
      <c r="N58" s="150"/>
      <c r="O58" s="150" t="s">
        <v>20080</v>
      </c>
      <c r="P58" s="209"/>
      <c r="Q58" s="151"/>
      <c r="R58" s="149" t="str">
        <f ca="1">IF(ISERROR($V58),"",OFFSET('Smelter Look-up'!$C$4,$V58-4,0)&amp;"")</f>
        <v>Guangdong Fangyuan New Materials Group Co., Ltd.</v>
      </c>
      <c r="S58" s="155" t="str">
        <f t="shared" ca="1" si="3"/>
        <v>CN</v>
      </c>
      <c r="T58" s="155" t="str">
        <f ca="1">IF(B58="","",IF(ISERROR(MATCH($J58,SorP!$B$1:$B$6226,0)),"",INDIRECT("'SorP'!$A$"&amp;MATCH($S58&amp;$J58,SorP!C:C,0))))</f>
        <v>CN-GD</v>
      </c>
      <c r="U58" s="168"/>
      <c r="V58" s="169">
        <f ca="1">IF(C58="",NA(),MATCH($B58&amp;$C58,'Smelter Look-up'!$J:$J,0))</f>
        <v>39</v>
      </c>
      <c r="X58" s="170">
        <f t="shared" ca="1" si="4"/>
        <v>0</v>
      </c>
      <c r="AB58" s="314" t="str">
        <f t="shared" ca="1" si="5"/>
        <v>Cobalt</v>
      </c>
    </row>
    <row r="59" spans="1:28" s="170" customFormat="1" ht="140.25">
      <c r="A59" s="155" t="s">
        <v>232</v>
      </c>
      <c r="B59" s="304" t="str">
        <f ca="1">IF(LEN(A59)=0,"",INDEX('Smelter Look-up'!$A:$A,MATCH($A59,'Smelter Look-up'!$E:$E,0)))</f>
        <v>Cobalt</v>
      </c>
      <c r="C59" s="152" t="str">
        <f ca="1">IF(LEN(A59)=0,"",INDEX('Smelter Look-up'!$C:$C,MATCH($A59,'Smelter Look-up'!$E:$E,0)))</f>
        <v>Nantong Xinwei Nickel Cobalt Technology Development Co., Ltd.</v>
      </c>
      <c r="D59" s="149"/>
      <c r="E59" s="149" t="str">
        <f ca="1">IF(ISERROR($V59),"",OFFSET('Smelter Look-up'!$D$4,$V59-4,0)&amp;"")</f>
        <v>CHINA</v>
      </c>
      <c r="F59" s="149" t="str">
        <f ca="1">IF(ISERROR($V59),"",OFFSET('Smelter Look-up'!$E$4,$V59-4,0))</f>
        <v>CID003221</v>
      </c>
      <c r="G59" s="149" t="str">
        <f ca="1">IF(C59=$X$4,"Enter smelter details",IF(ISERROR($V59),"",OFFSET('Smelter Look-up'!$F$4,$V59-4,0)))</f>
        <v>RMI</v>
      </c>
      <c r="H59" s="206">
        <f ca="1">IF(ISERROR($V59),"",OFFSET('Smelter Look-up'!$G$4,$V59-4,0))</f>
        <v>0</v>
      </c>
      <c r="I59" s="207" t="str">
        <f ca="1">IF(ISERROR($V59),"",OFFSET('Smelter Look-up'!$H$4,$V59-4,0))</f>
        <v>Haimei</v>
      </c>
      <c r="J59" s="207" t="str">
        <f ca="1">IF(ISERROR($V59),"",OFFSET('Smelter Look-up'!$I$4,$V59-4,0))</f>
        <v>Jiangsu Sheng</v>
      </c>
      <c r="K59" s="150"/>
      <c r="L59" s="150"/>
      <c r="M59" s="150"/>
      <c r="N59" s="150"/>
      <c r="O59" s="150" t="s">
        <v>20080</v>
      </c>
      <c r="P59" s="209"/>
      <c r="Q59" s="151"/>
      <c r="R59" s="149" t="str">
        <f ca="1">IF(ISERROR($V59),"",OFFSET('Smelter Look-up'!$C$4,$V59-4,0)&amp;"")</f>
        <v>Nantong Xinwei Nickel Cobalt Technology Development Co., Ltd.</v>
      </c>
      <c r="S59" s="155" t="str">
        <f t="shared" ca="1" si="3"/>
        <v>CN</v>
      </c>
      <c r="T59" s="155" t="str">
        <f ca="1">IF(B59="","",IF(ISERROR(MATCH($J59,SorP!$B$1:$B$6226,0)),"",INDIRECT("'SorP'!$A$"&amp;MATCH($S59&amp;$J59,SorP!C:C,0))))</f>
        <v>CN-JS</v>
      </c>
      <c r="U59" s="168"/>
      <c r="V59" s="169">
        <f ca="1">IF(C59="",NA(),MATCH($B59&amp;$C59,'Smelter Look-up'!$J:$J,0))</f>
        <v>117</v>
      </c>
      <c r="X59" s="170">
        <f t="shared" ca="1" si="4"/>
        <v>0</v>
      </c>
      <c r="AB59" s="314" t="str">
        <f t="shared" ca="1" si="5"/>
        <v>Cobalt</v>
      </c>
    </row>
    <row r="60" spans="1:28" s="170" customFormat="1" ht="89.25">
      <c r="A60" s="155" t="s">
        <v>151</v>
      </c>
      <c r="B60" s="304" t="str">
        <f ca="1">IF(LEN(A60)=0,"",INDEX('Smelter Look-up'!$A:$A,MATCH($A60,'Smelter Look-up'!$E:$E,0)))</f>
        <v>Cobalt</v>
      </c>
      <c r="C60" s="152" t="str">
        <f ca="1">IF(LEN(A60)=0,"",INDEX('Smelter Look-up'!$C:$C,MATCH($A60,'Smelter Look-up'!$E:$E,0)))</f>
        <v>Hunan Shiji Yintian New Material Co., Ltd.</v>
      </c>
      <c r="D60" s="149"/>
      <c r="E60" s="149" t="str">
        <f ca="1">IF(ISERROR($V60),"",OFFSET('Smelter Look-up'!$D$4,$V60-4,0)&amp;"")</f>
        <v>CHINA</v>
      </c>
      <c r="F60" s="149" t="str">
        <f ca="1">IF(ISERROR($V60),"",OFFSET('Smelter Look-up'!$E$4,$V60-4,0))</f>
        <v>CID003467</v>
      </c>
      <c r="G60" s="149" t="str">
        <f ca="1">IF(C60=$X$4,"Enter smelter details",IF(ISERROR($V60),"",OFFSET('Smelter Look-up'!$F$4,$V60-4,0)))</f>
        <v>RMI</v>
      </c>
      <c r="H60" s="206">
        <f ca="1">IF(ISERROR($V60),"",OFFSET('Smelter Look-up'!$G$4,$V60-4,0))</f>
        <v>0</v>
      </c>
      <c r="I60" s="207" t="str">
        <f ca="1">IF(ISERROR($V60),"",OFFSET('Smelter Look-up'!$H$4,$V60-4,0))</f>
        <v>Yiyang</v>
      </c>
      <c r="J60" s="207" t="str">
        <f ca="1">IF(ISERROR($V60),"",OFFSET('Smelter Look-up'!$I$4,$V60-4,0))</f>
        <v>Hunan Sheng</v>
      </c>
      <c r="K60" s="150"/>
      <c r="L60" s="150"/>
      <c r="M60" s="150"/>
      <c r="N60" s="150"/>
      <c r="O60" s="150" t="s">
        <v>20080</v>
      </c>
      <c r="P60" s="209"/>
      <c r="Q60" s="151"/>
      <c r="R60" s="149" t="str">
        <f ca="1">IF(ISERROR($V60),"",OFFSET('Smelter Look-up'!$C$4,$V60-4,0)&amp;"")</f>
        <v>Hunan Shiji Yintian New Material Co., Ltd.</v>
      </c>
      <c r="S60" s="155" t="str">
        <f t="shared" ca="1" si="3"/>
        <v>CN</v>
      </c>
      <c r="T60" s="155" t="str">
        <f ca="1">IF(B60="","",IF(ISERROR(MATCH($J60,SorP!$B$1:$B$6226,0)),"",INDIRECT("'SorP'!$A$"&amp;MATCH($S60&amp;$J60,SorP!C:C,0))))</f>
        <v>CN-HN</v>
      </c>
      <c r="U60" s="168"/>
      <c r="V60" s="169">
        <f ca="1">IF(C60="",NA(),MATCH($B60&amp;$C60,'Smelter Look-up'!$J:$J,0))</f>
        <v>53</v>
      </c>
      <c r="X60" s="170">
        <f t="shared" ca="1" si="4"/>
        <v>0</v>
      </c>
      <c r="AB60" s="314" t="str">
        <f t="shared" ca="1" si="5"/>
        <v>Cobalt</v>
      </c>
    </row>
    <row r="61" spans="1:28" s="170" customFormat="1" ht="38.25">
      <c r="A61" s="155" t="s">
        <v>12062</v>
      </c>
      <c r="B61" s="304" t="str">
        <f ca="1">IF(LEN(A61)=0,"",INDEX('Smelter Look-up'!$A:$A,MATCH($A61,'Smelter Look-up'!$E:$E,0)))</f>
        <v>Cobalt</v>
      </c>
      <c r="C61" s="152" t="str">
        <f ca="1">IF(LEN(A61)=0,"",INDEX('Smelter Look-up'!$C:$C,MATCH($A61,'Smelter Look-up'!$E:$E,0)))</f>
        <v>Vital Materials Plant</v>
      </c>
      <c r="D61" s="149"/>
      <c r="E61" s="149" t="str">
        <f ca="1">IF(ISERROR($V61),"",OFFSET('Smelter Look-up'!$D$4,$V61-4,0)&amp;"")</f>
        <v>CHINA</v>
      </c>
      <c r="F61" s="149" t="str">
        <f ca="1">IF(ISERROR($V61),"",OFFSET('Smelter Look-up'!$E$4,$V61-4,0))</f>
        <v>CID003875</v>
      </c>
      <c r="G61" s="149" t="str">
        <f ca="1">IF(C61=$X$4,"Enter smelter details",IF(ISERROR($V61),"",OFFSET('Smelter Look-up'!$F$4,$V61-4,0)))</f>
        <v>RMI</v>
      </c>
      <c r="H61" s="206">
        <f ca="1">IF(ISERROR($V61),"",OFFSET('Smelter Look-up'!$G$4,$V61-4,0))</f>
        <v>0</v>
      </c>
      <c r="I61" s="207" t="str">
        <f ca="1">IF(ISERROR($V61),"",OFFSET('Smelter Look-up'!$H$4,$V61-4,0))</f>
        <v>Qingyuan City</v>
      </c>
      <c r="J61" s="207" t="str">
        <f ca="1">IF(ISERROR($V61),"",OFFSET('Smelter Look-up'!$I$4,$V61-4,0))</f>
        <v>Guangdong Sheng</v>
      </c>
      <c r="K61" s="150"/>
      <c r="L61" s="150"/>
      <c r="M61" s="150"/>
      <c r="N61" s="150"/>
      <c r="O61" s="150" t="s">
        <v>20080</v>
      </c>
      <c r="P61" s="209"/>
      <c r="Q61" s="151"/>
      <c r="R61" s="149" t="str">
        <f ca="1">IF(ISERROR($V61),"",OFFSET('Smelter Look-up'!$C$4,$V61-4,0)&amp;"")</f>
        <v>Vital Materials Plant</v>
      </c>
      <c r="S61" s="155" t="str">
        <f t="shared" ca="1" si="3"/>
        <v>CN</v>
      </c>
      <c r="T61" s="155" t="str">
        <f ca="1">IF(B61="","",IF(ISERROR(MATCH($J61,SorP!$B$1:$B$6226,0)),"",INDIRECT("'SorP'!$A$"&amp;MATCH($S61&amp;$J61,SorP!C:C,0))))</f>
        <v>CN-GD</v>
      </c>
      <c r="U61" s="168"/>
      <c r="V61" s="169">
        <f ca="1">IF(C61="",NA(),MATCH($B61&amp;$C61,'Smelter Look-up'!$J:$J,0))</f>
        <v>159</v>
      </c>
      <c r="X61" s="170">
        <f t="shared" ca="1" si="4"/>
        <v>0</v>
      </c>
      <c r="AB61" s="314" t="str">
        <f t="shared" ca="1" si="5"/>
        <v>Cobalt</v>
      </c>
    </row>
    <row r="62" spans="1:28" s="170" customFormat="1" ht="63.75">
      <c r="A62" s="155" t="s">
        <v>12054</v>
      </c>
      <c r="B62" s="304" t="str">
        <f ca="1">IF(LEN(A62)=0,"",INDEX('Smelter Look-up'!$A:$A,MATCH($A62,'Smelter Look-up'!$E:$E,0)))</f>
        <v>Cobalt</v>
      </c>
      <c r="C62" s="152" t="str">
        <f ca="1">IF(LEN(A62)=0,"",INDEX('Smelter Look-up'!$C:$C,MATCH($A62,'Smelter Look-up'!$E:$E,0)))</f>
        <v>LA MINIERE DE KASOMBO SAS</v>
      </c>
      <c r="D62" s="149"/>
      <c r="E62" s="149" t="str">
        <f ca="1">IF(ISERROR($V62),"",OFFSET('Smelter Look-up'!$D$4,$V62-4,0)&amp;"")</f>
        <v>CONGO, DEMOCRATIC REPUBLIC OF THE</v>
      </c>
      <c r="F62" s="149" t="str">
        <f ca="1">IF(ISERROR($V62),"",OFFSET('Smelter Look-up'!$E$4,$V62-4,0))</f>
        <v>CID003276</v>
      </c>
      <c r="G62" s="149" t="str">
        <f ca="1">IF(C62=$X$4,"Enter smelter details",IF(ISERROR($V62),"",OFFSET('Smelter Look-up'!$F$4,$V62-4,0)))</f>
        <v>RMI</v>
      </c>
      <c r="H62" s="206">
        <f ca="1">IF(ISERROR($V62),"",OFFSET('Smelter Look-up'!$G$4,$V62-4,0))</f>
        <v>0</v>
      </c>
      <c r="I62" s="207" t="str">
        <f ca="1">IF(ISERROR($V62),"",OFFSET('Smelter Look-up'!$H$4,$V62-4,0))</f>
        <v>Lubumbashi</v>
      </c>
      <c r="J62" s="207" t="str">
        <f ca="1">IF(ISERROR($V62),"",OFFSET('Smelter Look-up'!$I$4,$V62-4,0))</f>
        <v>Haut-Katanga</v>
      </c>
      <c r="K62" s="150"/>
      <c r="L62" s="150"/>
      <c r="M62" s="150"/>
      <c r="N62" s="150"/>
      <c r="O62" s="150" t="s">
        <v>20080</v>
      </c>
      <c r="P62" s="209"/>
      <c r="Q62" s="151"/>
      <c r="R62" s="149" t="str">
        <f ca="1">IF(ISERROR($V62),"",OFFSET('Smelter Look-up'!$C$4,$V62-4,0)&amp;"")</f>
        <v>LA MINIERE DE KASOMBO SAS</v>
      </c>
      <c r="S62" s="155" t="str">
        <f t="shared" ca="1" si="3"/>
        <v>CD</v>
      </c>
      <c r="T62" s="155" t="str">
        <f ca="1">IF(B62="","",IF(ISERROR(MATCH($J62,SorP!$B$1:$B$6226,0)),"",INDIRECT("'SorP'!$A$"&amp;MATCH($S62&amp;$J62,SorP!C:C,0))))</f>
        <v>CD-HK</v>
      </c>
      <c r="U62" s="168"/>
      <c r="V62" s="169">
        <f ca="1">IF(C62="",NA(),MATCH($B62&amp;$C62,'Smelter Look-up'!$J:$J,0))</f>
        <v>87</v>
      </c>
      <c r="X62" s="170">
        <f t="shared" ca="1" si="4"/>
        <v>0</v>
      </c>
      <c r="AB62" s="314" t="str">
        <f t="shared" ca="1" si="5"/>
        <v>Cobalt</v>
      </c>
    </row>
    <row r="63" spans="1:28" s="170" customFormat="1" ht="51">
      <c r="A63" s="155" t="s">
        <v>91</v>
      </c>
      <c r="B63" s="304" t="str">
        <f ca="1">IF(LEN(A63)=0,"",INDEX('Smelter Look-up'!$A:$A,MATCH($A63,'Smelter Look-up'!$E:$E,0)))</f>
        <v>Cobalt</v>
      </c>
      <c r="C63" s="152" t="str">
        <f ca="1">IF(LEN(A63)=0,"",INDEX('Smelter Look-up'!$C:$C,MATCH($A63,'Smelter Look-up'!$E:$E,0)))</f>
        <v>Fairsky Industrial Co., Limited</v>
      </c>
      <c r="D63" s="149"/>
      <c r="E63" s="149" t="str">
        <f ca="1">IF(ISERROR($V63),"",OFFSET('Smelter Look-up'!$D$4,$V63-4,0)&amp;"")</f>
        <v>CHINA</v>
      </c>
      <c r="F63" s="149" t="str">
        <f ca="1">IF(ISERROR($V63),"",OFFSET('Smelter Look-up'!$E$4,$V63-4,0))</f>
        <v>CID003469</v>
      </c>
      <c r="G63" s="149" t="str">
        <f ca="1">IF(C63=$X$4,"Enter smelter details",IF(ISERROR($V63),"",OFFSET('Smelter Look-up'!$F$4,$V63-4,0)))</f>
        <v>RMI</v>
      </c>
      <c r="H63" s="206">
        <f ca="1">IF(ISERROR($V63),"",OFFSET('Smelter Look-up'!$G$4,$V63-4,0))</f>
        <v>0</v>
      </c>
      <c r="I63" s="207" t="str">
        <f ca="1">IF(ISERROR($V63),"",OFFSET('Smelter Look-up'!$H$4,$V63-4,0))</f>
        <v>Baoding</v>
      </c>
      <c r="J63" s="207" t="str">
        <f ca="1">IF(ISERROR($V63),"",OFFSET('Smelter Look-up'!$I$4,$V63-4,0))</f>
        <v>Hebei Sheng</v>
      </c>
      <c r="K63" s="150"/>
      <c r="L63" s="150"/>
      <c r="M63" s="150"/>
      <c r="N63" s="150"/>
      <c r="O63" s="150" t="s">
        <v>20080</v>
      </c>
      <c r="P63" s="209"/>
      <c r="Q63" s="151"/>
      <c r="R63" s="149" t="str">
        <f ca="1">IF(ISERROR($V63),"",OFFSET('Smelter Look-up'!$C$4,$V63-4,0)&amp;"")</f>
        <v>Fairsky Industrial Co., Limited</v>
      </c>
      <c r="S63" s="155" t="str">
        <f t="shared" ca="1" si="3"/>
        <v>CN</v>
      </c>
      <c r="T63" s="155" t="str">
        <f ca="1">IF(B63="","",IF(ISERROR(MATCH($J63,SorP!$B$1:$B$6226,0)),"",INDIRECT("'SorP'!$A$"&amp;MATCH($S63&amp;$J63,SorP!C:C,0))))</f>
        <v>CN-HE</v>
      </c>
      <c r="U63" s="168"/>
      <c r="V63" s="169">
        <f ca="1">IF(C63="",NA(),MATCH($B63&amp;$C63,'Smelter Look-up'!$J:$J,0))</f>
        <v>27</v>
      </c>
      <c r="X63" s="170">
        <f t="shared" ref="X63:X126" ca="1" si="6">IF(AND(C63="Smelter not listed",OR(LEN(D63)=0,LEN(E63)=0)),1,0)</f>
        <v>0</v>
      </c>
      <c r="AB63" s="314" t="str">
        <f t="shared" ca="1" si="5"/>
        <v>Cobalt</v>
      </c>
    </row>
    <row r="64" spans="1:28" s="170" customFormat="1" ht="38.25">
      <c r="A64" s="155" t="s">
        <v>214</v>
      </c>
      <c r="B64" s="304" t="str">
        <f ca="1">IF(LEN(A64)=0,"",INDEX('Smelter Look-up'!$A:$A,MATCH($A64,'Smelter Look-up'!$E:$E,0)))</f>
        <v>Cobalt</v>
      </c>
      <c r="C64" s="152" t="str">
        <f ca="1">IF(LEN(A64)=0,"",INDEX('Smelter Look-up'!$C:$C,MATCH($A64,'Smelter Look-up'!$E:$E,0)))</f>
        <v>METAL MINES SARL</v>
      </c>
      <c r="D64" s="149"/>
      <c r="E64" s="149" t="str">
        <f ca="1">IF(ISERROR($V64),"",OFFSET('Smelter Look-up'!$D$4,$V64-4,0)&amp;"")</f>
        <v>CONGO, DEMOCRATIC REPUBLIC OF THE</v>
      </c>
      <c r="F64" s="149" t="str">
        <f ca="1">IF(ISERROR($V64),"",OFFSET('Smelter Look-up'!$E$4,$V64-4,0))</f>
        <v>CID003385</v>
      </c>
      <c r="G64" s="149" t="str">
        <f ca="1">IF(C64=$X$4,"Enter smelter details",IF(ISERROR($V64),"",OFFSET('Smelter Look-up'!$F$4,$V64-4,0)))</f>
        <v>RMI</v>
      </c>
      <c r="H64" s="206">
        <f ca="1">IF(ISERROR($V64),"",OFFSET('Smelter Look-up'!$G$4,$V64-4,0))</f>
        <v>0</v>
      </c>
      <c r="I64" s="207" t="str">
        <f ca="1">IF(ISERROR($V64),"",OFFSET('Smelter Look-up'!$H$4,$V64-4,0))</f>
        <v>Likasi</v>
      </c>
      <c r="J64" s="207" t="str">
        <f ca="1">IF(ISERROR($V64),"",OFFSET('Smelter Look-up'!$I$4,$V64-4,0))</f>
        <v>Haut-Katanga</v>
      </c>
      <c r="K64" s="150"/>
      <c r="L64" s="150"/>
      <c r="M64" s="150"/>
      <c r="N64" s="150"/>
      <c r="O64" s="150" t="s">
        <v>20080</v>
      </c>
      <c r="P64" s="209"/>
      <c r="Q64" s="151"/>
      <c r="R64" s="149" t="str">
        <f ca="1">IF(ISERROR($V64),"",OFFSET('Smelter Look-up'!$C$4,$V64-4,0)&amp;"")</f>
        <v>METAL MINES SARL</v>
      </c>
      <c r="S64" s="155" t="str">
        <f t="shared" ref="S64:S127" ca="1" si="7">IF(B64="","",IF(ISERROR(MATCH($E64,CL,0)),"Unknown",INDIRECT("'C'!$A$"&amp;MATCH($E64,CL,0)+1)))</f>
        <v>CD</v>
      </c>
      <c r="T64" s="155" t="str">
        <f ca="1">IF(B64="","",IF(ISERROR(MATCH($J64,SorP!$B$1:$B$6226,0)),"",INDIRECT("'SorP'!$A$"&amp;MATCH($S64&amp;$J64,SorP!C:C,0))))</f>
        <v>CD-HK</v>
      </c>
      <c r="U64" s="168"/>
      <c r="V64" s="169">
        <f ca="1">IF(C64="",NA(),MATCH($B64&amp;$C64,'Smelter Look-up'!$J:$J,0))</f>
        <v>101</v>
      </c>
      <c r="X64" s="170">
        <f t="shared" ca="1" si="6"/>
        <v>0</v>
      </c>
      <c r="AB64" s="314" t="str">
        <f t="shared" ca="1" si="5"/>
        <v>Cobalt</v>
      </c>
    </row>
    <row r="65" spans="1:28" s="170" customFormat="1" ht="89.25">
      <c r="A65" s="155" t="s">
        <v>226</v>
      </c>
      <c r="B65" s="304" t="str">
        <f ca="1">IF(LEN(A65)=0,"",INDEX('Smelter Look-up'!$A:$A,MATCH($A65,'Smelter Look-up'!$E:$E,0)))</f>
        <v>Cobalt</v>
      </c>
      <c r="C65" s="152" t="str">
        <f ca="1">IF(LEN(A65)=0,"",INDEX('Smelter Look-up'!$C:$C,MATCH($A65,'Smelter Look-up'!$E:$E,0)))</f>
        <v>MKM - La Miniere de Kalumbwe Myunga</v>
      </c>
      <c r="D65" s="149"/>
      <c r="E65" s="149" t="str">
        <f ca="1">IF(ISERROR($V65),"",OFFSET('Smelter Look-up'!$D$4,$V65-4,0)&amp;"")</f>
        <v>CONGO, DEMOCRATIC REPUBLIC OF THE</v>
      </c>
      <c r="F65" s="149" t="str">
        <f ca="1">IF(ISERROR($V65),"",OFFSET('Smelter Look-up'!$E$4,$V65-4,0))</f>
        <v>CID003464</v>
      </c>
      <c r="G65" s="149" t="str">
        <f ca="1">IF(C65=$X$4,"Enter smelter details",IF(ISERROR($V65),"",OFFSET('Smelter Look-up'!$F$4,$V65-4,0)))</f>
        <v>RMI</v>
      </c>
      <c r="H65" s="206">
        <f ca="1">IF(ISERROR($V65),"",OFFSET('Smelter Look-up'!$G$4,$V65-4,0))</f>
        <v>0</v>
      </c>
      <c r="I65" s="207" t="str">
        <f ca="1">IF(ISERROR($V65),"",OFFSET('Smelter Look-up'!$H$4,$V65-4,0))</f>
        <v>Kisanfu</v>
      </c>
      <c r="J65" s="207" t="str">
        <f ca="1">IF(ISERROR($V65),"",OFFSET('Smelter Look-up'!$I$4,$V65-4,0))</f>
        <v>Lualaba</v>
      </c>
      <c r="K65" s="150"/>
      <c r="L65" s="150"/>
      <c r="M65" s="150"/>
      <c r="N65" s="150"/>
      <c r="O65" s="150" t="s">
        <v>20080</v>
      </c>
      <c r="P65" s="209"/>
      <c r="Q65" s="151"/>
      <c r="R65" s="149" t="str">
        <f ca="1">IF(ISERROR($V65),"",OFFSET('Smelter Look-up'!$C$4,$V65-4,0)&amp;"")</f>
        <v>MKM - La Miniere de Kalumbwe Myunga</v>
      </c>
      <c r="S65" s="155" t="str">
        <f t="shared" ca="1" si="7"/>
        <v>CD</v>
      </c>
      <c r="T65" s="155" t="str">
        <f ca="1">IF(B65="","",IF(ISERROR(MATCH($J65,SorP!$B$1:$B$6226,0)),"",INDIRECT("'SorP'!$A$"&amp;MATCH($S65&amp;$J65,SorP!C:C,0))))</f>
        <v>CD-LU</v>
      </c>
      <c r="U65" s="168"/>
      <c r="V65" s="169">
        <f ca="1">IF(C65="",NA(),MATCH($B65&amp;$C65,'Smelter Look-up'!$J:$J,0))</f>
        <v>106</v>
      </c>
      <c r="X65" s="170">
        <f t="shared" ca="1" si="6"/>
        <v>0</v>
      </c>
      <c r="AB65" s="314" t="str">
        <f t="shared" ca="1" si="5"/>
        <v>Cobalt</v>
      </c>
    </row>
    <row r="66" spans="1:28" s="170" customFormat="1" ht="102">
      <c r="A66" s="155" t="s">
        <v>200</v>
      </c>
      <c r="B66" s="304" t="str">
        <f ca="1">IF(LEN(A66)=0,"",INDEX('Smelter Look-up'!$A:$A,MATCH($A66,'Smelter Look-up'!$E:$E,0)))</f>
        <v>Cobalt</v>
      </c>
      <c r="C66" s="152" t="str">
        <f ca="1">IF(LEN(A66)=0,"",INDEX('Smelter Look-up'!$C:$C,MATCH($A66,'Smelter Look-up'!$E:$E,0)))</f>
        <v>Mechema Chemicals (Thailand) Co., Ltd.</v>
      </c>
      <c r="D66" s="149"/>
      <c r="E66" s="149" t="str">
        <f ca="1">IF(ISERROR($V66),"",OFFSET('Smelter Look-up'!$D$4,$V66-4,0)&amp;"")</f>
        <v>THAILAND</v>
      </c>
      <c r="F66" s="149" t="str">
        <f ca="1">IF(ISERROR($V66),"",OFFSET('Smelter Look-up'!$E$4,$V66-4,0))</f>
        <v>CID003537</v>
      </c>
      <c r="G66" s="149" t="str">
        <f ca="1">IF(C66=$X$4,"Enter smelter details",IF(ISERROR($V66),"",OFFSET('Smelter Look-up'!$F$4,$V66-4,0)))</f>
        <v>RMI</v>
      </c>
      <c r="H66" s="206">
        <f ca="1">IF(ISERROR($V66),"",OFFSET('Smelter Look-up'!$G$4,$V66-4,0))</f>
        <v>0</v>
      </c>
      <c r="I66" s="207" t="str">
        <f ca="1">IF(ISERROR($V66),"",OFFSET('Smelter Look-up'!$H$4,$V66-4,0))</f>
        <v>Rayong</v>
      </c>
      <c r="J66" s="207" t="str">
        <f ca="1">IF(ISERROR($V66),"",OFFSET('Smelter Look-up'!$I$4,$V66-4,0))</f>
        <v>Rayong</v>
      </c>
      <c r="K66" s="150"/>
      <c r="L66" s="150"/>
      <c r="M66" s="150"/>
      <c r="N66" s="150"/>
      <c r="O66" s="150" t="s">
        <v>20080</v>
      </c>
      <c r="P66" s="209"/>
      <c r="Q66" s="151"/>
      <c r="R66" s="149" t="str">
        <f ca="1">IF(ISERROR($V66),"",OFFSET('Smelter Look-up'!$C$4,$V66-4,0)&amp;"")</f>
        <v>Mechema Chemicals (Thailand) Co., Ltd.</v>
      </c>
      <c r="S66" s="155" t="str">
        <f t="shared" ca="1" si="7"/>
        <v>TH</v>
      </c>
      <c r="T66" s="155" t="str">
        <f ca="1">IF(B66="","",IF(ISERROR(MATCH($J66,SorP!$B$1:$B$6226,0)),"",INDIRECT("'SorP'!$A$"&amp;MATCH($S66&amp;$J66,SorP!C:C,0))))</f>
        <v>TH-21</v>
      </c>
      <c r="U66" s="168"/>
      <c r="V66" s="169">
        <f ca="1">IF(C66="",NA(),MATCH($B66&amp;$C66,'Smelter Look-up'!$J:$J,0))</f>
        <v>96</v>
      </c>
      <c r="X66" s="170">
        <f t="shared" ca="1" si="6"/>
        <v>0</v>
      </c>
      <c r="AB66" s="314" t="str">
        <f t="shared" ca="1" si="5"/>
        <v>Cobalt</v>
      </c>
    </row>
    <row r="67" spans="1:28" s="170" customFormat="1" ht="76.5">
      <c r="A67" s="155" t="s">
        <v>287</v>
      </c>
      <c r="B67" s="304" t="str">
        <f ca="1">IF(LEN(A67)=0,"",INDEX('Smelter Look-up'!$A:$A,MATCH($A67,'Smelter Look-up'!$E:$E,0)))</f>
        <v>Cobalt</v>
      </c>
      <c r="C67" s="152" t="str">
        <f ca="1">IF(LEN(A67)=0,"",INDEX('Smelter Look-up'!$C:$C,MATCH($A67,'Smelter Look-up'!$E:$E,0)))</f>
        <v>Prony Resources New Caledonia</v>
      </c>
      <c r="D67" s="149"/>
      <c r="E67" s="149" t="str">
        <f ca="1">IF(ISERROR($V67),"",OFFSET('Smelter Look-up'!$D$4,$V67-4,0)&amp;"")</f>
        <v>NEW CALEDONIA</v>
      </c>
      <c r="F67" s="149" t="str">
        <f ca="1">IF(ISERROR($V67),"",OFFSET('Smelter Look-up'!$E$4,$V67-4,0))</f>
        <v>CID003303</v>
      </c>
      <c r="G67" s="149" t="str">
        <f ca="1">IF(C67=$X$4,"Enter smelter details",IF(ISERROR($V67),"",OFFSET('Smelter Look-up'!$F$4,$V67-4,0)))</f>
        <v>RMI</v>
      </c>
      <c r="H67" s="206">
        <f ca="1">IF(ISERROR($V67),"",OFFSET('Smelter Look-up'!$G$4,$V67-4,0))</f>
        <v>0</v>
      </c>
      <c r="I67" s="207" t="str">
        <f ca="1">IF(ISERROR($V67),"",OFFSET('Smelter Look-up'!$H$4,$V67-4,0))</f>
        <v>Le Mont-Dore</v>
      </c>
      <c r="J67" s="207" t="str">
        <f ca="1">IF(ISERROR($V67),"",OFFSET('Smelter Look-up'!$I$4,$V67-4,0))</f>
        <v>South Province</v>
      </c>
      <c r="K67" s="150"/>
      <c r="L67" s="150"/>
      <c r="M67" s="150"/>
      <c r="N67" s="150"/>
      <c r="O67" s="150" t="s">
        <v>20080</v>
      </c>
      <c r="P67" s="209"/>
      <c r="Q67" s="151"/>
      <c r="R67" s="149" t="str">
        <f ca="1">IF(ISERROR($V67),"",OFFSET('Smelter Look-up'!$C$4,$V67-4,0)&amp;"")</f>
        <v>Prony Resources New Caledonia</v>
      </c>
      <c r="S67" s="155" t="str">
        <f t="shared" ca="1" si="7"/>
        <v>NC</v>
      </c>
      <c r="T67" s="155" t="str">
        <f ca="1">IF(B67="","",IF(ISERROR(MATCH($J67,SorP!$B$1:$B$6226,0)),"",INDIRECT("'SorP'!$A$"&amp;MATCH($S67&amp;$J67,SorP!C:C,0))))</f>
        <v/>
      </c>
      <c r="U67" s="168"/>
      <c r="V67" s="169">
        <f ca="1">IF(C67="",NA(),MATCH($B67&amp;$C67,'Smelter Look-up'!$J:$J,0))</f>
        <v>126</v>
      </c>
      <c r="X67" s="170">
        <f t="shared" ca="1" si="6"/>
        <v>0</v>
      </c>
      <c r="AB67" s="314" t="str">
        <f t="shared" ca="1" si="5"/>
        <v>Cobalt</v>
      </c>
    </row>
    <row r="68" spans="1:28" s="170" customFormat="1" ht="76.5">
      <c r="A68" s="155" t="s">
        <v>244</v>
      </c>
      <c r="B68" s="304" t="str">
        <f ca="1">IF(LEN(A68)=0,"",INDEX('Smelter Look-up'!$A:$A,MATCH($A68,'Smelter Look-up'!$E:$E,0)))</f>
        <v>Cobalt</v>
      </c>
      <c r="C68" s="152" t="str">
        <f ca="1">IF(LEN(A68)=0,"",INDEX('Smelter Look-up'!$C:$C,MATCH($A68,'Smelter Look-up'!$E:$E,0)))</f>
        <v>Ningbo Yanmen Chemical Co., Ltd.</v>
      </c>
      <c r="D68" s="149"/>
      <c r="E68" s="149" t="str">
        <f ca="1">IF(ISERROR($V68),"",OFFSET('Smelter Look-up'!$D$4,$V68-4,0)&amp;"")</f>
        <v>CHINA</v>
      </c>
      <c r="F68" s="149" t="str">
        <f ca="1">IF(ISERROR($V68),"",OFFSET('Smelter Look-up'!$E$4,$V68-4,0))</f>
        <v>CID003422</v>
      </c>
      <c r="G68" s="149" t="str">
        <f ca="1">IF(C68=$X$4,"Enter smelter details",IF(ISERROR($V68),"",OFFSET('Smelter Look-up'!$F$4,$V68-4,0)))</f>
        <v>RMI</v>
      </c>
      <c r="H68" s="206">
        <f ca="1">IF(ISERROR($V68),"",OFFSET('Smelter Look-up'!$G$4,$V68-4,0))</f>
        <v>0</v>
      </c>
      <c r="I68" s="207" t="str">
        <f ca="1">IF(ISERROR($V68),"",OFFSET('Smelter Look-up'!$H$4,$V68-4,0))</f>
        <v>Ningbo</v>
      </c>
      <c r="J68" s="207" t="str">
        <f ca="1">IF(ISERROR($V68),"",OFFSET('Smelter Look-up'!$I$4,$V68-4,0))</f>
        <v>Zhejiang Sheng</v>
      </c>
      <c r="K68" s="150"/>
      <c r="L68" s="150"/>
      <c r="M68" s="150"/>
      <c r="N68" s="150"/>
      <c r="O68" s="150" t="s">
        <v>20080</v>
      </c>
      <c r="P68" s="209"/>
      <c r="Q68" s="151"/>
      <c r="R68" s="149" t="str">
        <f ca="1">IF(ISERROR($V68),"",OFFSET('Smelter Look-up'!$C$4,$V68-4,0)&amp;"")</f>
        <v>Ningbo Yanmen Chemical Co., Ltd.</v>
      </c>
      <c r="S68" s="155" t="str">
        <f t="shared" ca="1" si="7"/>
        <v>CN</v>
      </c>
      <c r="T68" s="155" t="str">
        <f ca="1">IF(B68="","",IF(ISERROR(MATCH($J68,SorP!$B$1:$B$6226,0)),"",INDIRECT("'SorP'!$A$"&amp;MATCH($S68&amp;$J68,SorP!C:C,0))))</f>
        <v>CN-ZJ</v>
      </c>
      <c r="U68" s="168"/>
      <c r="V68" s="169">
        <f ca="1">IF(C68="",NA(),MATCH($B68&amp;$C68,'Smelter Look-up'!$J:$J,0))</f>
        <v>123</v>
      </c>
      <c r="X68" s="170">
        <f t="shared" ca="1" si="6"/>
        <v>0</v>
      </c>
      <c r="AB68" s="314" t="str">
        <f t="shared" ca="1" si="5"/>
        <v>Cobalt</v>
      </c>
    </row>
    <row r="69" spans="1:28" s="170" customFormat="1" ht="76.5">
      <c r="A69" s="155" t="s">
        <v>203</v>
      </c>
      <c r="B69" s="304" t="str">
        <f ca="1">IF(LEN(A69)=0,"",INDEX('Smelter Look-up'!$A:$A,MATCH($A69,'Smelter Look-up'!$E:$E,0)))</f>
        <v>Cobalt</v>
      </c>
      <c r="C69" s="152" t="str">
        <f ca="1">IF(LEN(A69)=0,"",INDEX('Smelter Look-up'!$C:$C,MATCH($A69,'Smelter Look-up'!$E:$E,0)))</f>
        <v>Mechema Chemicals shang-yu</v>
      </c>
      <c r="D69" s="149"/>
      <c r="E69" s="149" t="str">
        <f ca="1">IF(ISERROR($V69),"",OFFSET('Smelter Look-up'!$D$4,$V69-4,0)&amp;"")</f>
        <v>CHINA</v>
      </c>
      <c r="F69" s="149" t="str">
        <f ca="1">IF(ISERROR($V69),"",OFFSET('Smelter Look-up'!$E$4,$V69-4,0))</f>
        <v>CID003536</v>
      </c>
      <c r="G69" s="149" t="str">
        <f ca="1">IF(C69=$X$4,"Enter smelter details",IF(ISERROR($V69),"",OFFSET('Smelter Look-up'!$F$4,$V69-4,0)))</f>
        <v>RMI</v>
      </c>
      <c r="H69" s="206">
        <f ca="1">IF(ISERROR($V69),"",OFFSET('Smelter Look-up'!$G$4,$V69-4,0))</f>
        <v>0</v>
      </c>
      <c r="I69" s="207" t="str">
        <f ca="1">IF(ISERROR($V69),"",OFFSET('Smelter Look-up'!$H$4,$V69-4,0))</f>
        <v>Shaoxing</v>
      </c>
      <c r="J69" s="207" t="str">
        <f ca="1">IF(ISERROR($V69),"",OFFSET('Smelter Look-up'!$I$4,$V69-4,0))</f>
        <v>Zhejiang Sheng</v>
      </c>
      <c r="K69" s="150"/>
      <c r="L69" s="150"/>
      <c r="M69" s="150"/>
      <c r="N69" s="150"/>
      <c r="O69" s="150" t="s">
        <v>20080</v>
      </c>
      <c r="P69" s="209"/>
      <c r="Q69" s="151"/>
      <c r="R69" s="149" t="str">
        <f ca="1">IF(ISERROR($V69),"",OFFSET('Smelter Look-up'!$C$4,$V69-4,0)&amp;"")</f>
        <v>Mechema Chemicals shang-yu</v>
      </c>
      <c r="S69" s="155" t="str">
        <f t="shared" ca="1" si="7"/>
        <v>CN</v>
      </c>
      <c r="T69" s="155" t="str">
        <f ca="1">IF(B69="","",IF(ISERROR(MATCH($J69,SorP!$B$1:$B$6226,0)),"",INDIRECT("'SorP'!$A$"&amp;MATCH($S69&amp;$J69,SorP!C:C,0))))</f>
        <v>CN-ZJ</v>
      </c>
      <c r="U69" s="168"/>
      <c r="V69" s="169">
        <f ca="1">IF(C69="",NA(),MATCH($B69&amp;$C69,'Smelter Look-up'!$J:$J,0))</f>
        <v>97</v>
      </c>
      <c r="X69" s="170">
        <f t="shared" ca="1" si="6"/>
        <v>0</v>
      </c>
      <c r="AB69" s="314" t="str">
        <f t="shared" ca="1" si="5"/>
        <v>Cobalt</v>
      </c>
    </row>
    <row r="70" spans="1:28" s="170" customFormat="1" ht="127.5">
      <c r="A70" s="155" t="s">
        <v>292</v>
      </c>
      <c r="B70" s="304" t="str">
        <f ca="1">IF(LEN(A70)=0,"",INDEX('Smelter Look-up'!$A:$A,MATCH($A70,'Smelter Look-up'!$E:$E,0)))</f>
        <v>Cobalt</v>
      </c>
      <c r="C70" s="152" t="str">
        <f ca="1">IF(LEN(A70)=0,"",INDEX('Smelter Look-up'!$C:$C,MATCH($A70,'Smelter Look-up'!$E:$E,0)))</f>
        <v>Xiangtan Huacheng Nickel Cobalt New Material Co., Ltd.</v>
      </c>
      <c r="D70" s="149"/>
      <c r="E70" s="149" t="str">
        <f ca="1">IF(ISERROR($V70),"",OFFSET('Smelter Look-up'!$D$4,$V70-4,0)&amp;"")</f>
        <v>CHINA</v>
      </c>
      <c r="F70" s="149" t="str">
        <f ca="1">IF(ISERROR($V70),"",OFFSET('Smelter Look-up'!$E$4,$V70-4,0))</f>
        <v>CID003466</v>
      </c>
      <c r="G70" s="149" t="str">
        <f ca="1">IF(C70=$X$4,"Enter smelter details",IF(ISERROR($V70),"",OFFSET('Smelter Look-up'!$F$4,$V70-4,0)))</f>
        <v>RMI</v>
      </c>
      <c r="H70" s="206">
        <f ca="1">IF(ISERROR($V70),"",OFFSET('Smelter Look-up'!$G$4,$V70-4,0))</f>
        <v>0</v>
      </c>
      <c r="I70" s="207" t="str">
        <f ca="1">IF(ISERROR($V70),"",OFFSET('Smelter Look-up'!$H$4,$V70-4,0))</f>
        <v>Xiangtan</v>
      </c>
      <c r="J70" s="207" t="str">
        <f ca="1">IF(ISERROR($V70),"",OFFSET('Smelter Look-up'!$I$4,$V70-4,0))</f>
        <v>Hunan Sheng</v>
      </c>
      <c r="K70" s="150"/>
      <c r="L70" s="150"/>
      <c r="M70" s="150"/>
      <c r="N70" s="150"/>
      <c r="O70" s="150" t="s">
        <v>20080</v>
      </c>
      <c r="P70" s="209"/>
      <c r="Q70" s="151"/>
      <c r="R70" s="149" t="str">
        <f ca="1">IF(ISERROR($V70),"",OFFSET('Smelter Look-up'!$C$4,$V70-4,0)&amp;"")</f>
        <v>Xiangtan Huacheng Nickel Cobalt New Material Co., Ltd.</v>
      </c>
      <c r="S70" s="155" t="str">
        <f t="shared" ca="1" si="7"/>
        <v>CN</v>
      </c>
      <c r="T70" s="155" t="str">
        <f ca="1">IF(B70="","",IF(ISERROR(MATCH($J70,SorP!$B$1:$B$6226,0)),"",INDIRECT("'SorP'!$A$"&amp;MATCH($S70&amp;$J70,SorP!C:C,0))))</f>
        <v>CN-HN</v>
      </c>
      <c r="U70" s="168"/>
      <c r="V70" s="169">
        <f ca="1">IF(C70="",NA(),MATCH($B70&amp;$C70,'Smelter Look-up'!$J:$J,0))</f>
        <v>162</v>
      </c>
      <c r="X70" s="170">
        <f t="shared" ca="1" si="6"/>
        <v>0</v>
      </c>
      <c r="AB70" s="314" t="str">
        <f t="shared" ref="AB70:AB133" ca="1" si="8">IF(C70="","",B70)</f>
        <v>Cobalt</v>
      </c>
    </row>
    <row r="71" spans="1:28" s="170" customFormat="1" ht="63.75">
      <c r="A71" s="155" t="s">
        <v>207</v>
      </c>
      <c r="B71" s="304" t="str">
        <f ca="1">IF(LEN(A71)=0,"",INDEX('Smelter Look-up'!$A:$A,MATCH($A71,'Smelter Look-up'!$E:$E,0)))</f>
        <v>Cobalt</v>
      </c>
      <c r="C71" s="152" t="str">
        <f ca="1">IF(LEN(A71)=0,"",INDEX('Smelter Look-up'!$C:$C,MATCH($A71,'Smelter Look-up'!$E:$E,0)))</f>
        <v>Mechema Korea, Co., Ltd.</v>
      </c>
      <c r="D71" s="149"/>
      <c r="E71" s="149" t="str">
        <f ca="1">IF(ISERROR($V71),"",OFFSET('Smelter Look-up'!$D$4,$V71-4,0)&amp;"")</f>
        <v>KOREA, REPUBLIC OF</v>
      </c>
      <c r="F71" s="149" t="str">
        <f ca="1">IF(ISERROR($V71),"",OFFSET('Smelter Look-up'!$E$4,$V71-4,0))</f>
        <v>CID003535</v>
      </c>
      <c r="G71" s="149" t="str">
        <f ca="1">IF(C71=$X$4,"Enter smelter details",IF(ISERROR($V71),"",OFFSET('Smelter Look-up'!$F$4,$V71-4,0)))</f>
        <v>RMI</v>
      </c>
      <c r="H71" s="206">
        <f ca="1">IF(ISERROR($V71),"",OFFSET('Smelter Look-up'!$G$4,$V71-4,0))</f>
        <v>0</v>
      </c>
      <c r="I71" s="207" t="str">
        <f ca="1">IF(ISERROR($V71),"",OFFSET('Smelter Look-up'!$H$4,$V71-4,0))</f>
        <v>Ulsan</v>
      </c>
      <c r="J71" s="207" t="str">
        <f ca="1">IF(ISERROR($V71),"",OFFSET('Smelter Look-up'!$I$4,$V71-4,0))</f>
        <v>Gyeongsangnam-do</v>
      </c>
      <c r="K71" s="150"/>
      <c r="L71" s="150"/>
      <c r="M71" s="150"/>
      <c r="N71" s="150"/>
      <c r="O71" s="150" t="s">
        <v>20080</v>
      </c>
      <c r="P71" s="209"/>
      <c r="Q71" s="151"/>
      <c r="R71" s="149" t="str">
        <f ca="1">IF(ISERROR($V71),"",OFFSET('Smelter Look-up'!$C$4,$V71-4,0)&amp;"")</f>
        <v>Mechema Korea, Co., Ltd.</v>
      </c>
      <c r="S71" s="155" t="str">
        <f t="shared" ca="1" si="7"/>
        <v>KR</v>
      </c>
      <c r="T71" s="155" t="str">
        <f ca="1">IF(B71="","",IF(ISERROR(MATCH($J71,SorP!$B$1:$B$6226,0)),"",INDIRECT("'SorP'!$A$"&amp;MATCH($S71&amp;$J71,SorP!C:C,0))))</f>
        <v>KR-48</v>
      </c>
      <c r="U71" s="168"/>
      <c r="V71" s="169">
        <f ca="1">IF(C71="",NA(),MATCH($B71&amp;$C71,'Smelter Look-up'!$J:$J,0))</f>
        <v>98</v>
      </c>
      <c r="X71" s="170">
        <f t="shared" ca="1" si="6"/>
        <v>0</v>
      </c>
      <c r="AB71" s="314" t="str">
        <f t="shared" ca="1" si="8"/>
        <v>Cobalt</v>
      </c>
    </row>
    <row r="72" spans="1:28" s="170" customFormat="1" ht="89.25">
      <c r="A72" s="155" t="s">
        <v>138</v>
      </c>
      <c r="B72" s="304" t="str">
        <f ca="1">IF(LEN(A72)=0,"",INDEX('Smelter Look-up'!$A:$A,MATCH($A72,'Smelter Look-up'!$E:$E,0)))</f>
        <v>Cobalt</v>
      </c>
      <c r="C72" s="152" t="str">
        <f ca="1">IF(LEN(A72)=0,"",INDEX('Smelter Look-up'!$C:$C,MATCH($A72,'Smelter Look-up'!$E:$E,0)))</f>
        <v>Hefei Rongjie Metal Technology Co., Ltd.</v>
      </c>
      <c r="D72" s="149"/>
      <c r="E72" s="149" t="str">
        <f ca="1">IF(ISERROR($V72),"",OFFSET('Smelter Look-up'!$D$4,$V72-4,0)&amp;"")</f>
        <v>CHINA</v>
      </c>
      <c r="F72" s="149" t="str">
        <f ca="1">IF(ISERROR($V72),"",OFFSET('Smelter Look-up'!$E$4,$V72-4,0))</f>
        <v>CID003571</v>
      </c>
      <c r="G72" s="149" t="str">
        <f ca="1">IF(C72=$X$4,"Enter smelter details",IF(ISERROR($V72),"",OFFSET('Smelter Look-up'!$F$4,$V72-4,0)))</f>
        <v>RMI</v>
      </c>
      <c r="H72" s="206">
        <f ca="1">IF(ISERROR($V72),"",OFFSET('Smelter Look-up'!$G$4,$V72-4,0))</f>
        <v>0</v>
      </c>
      <c r="I72" s="207" t="str">
        <f ca="1">IF(ISERROR($V72),"",OFFSET('Smelter Look-up'!$H$4,$V72-4,0))</f>
        <v>Hefei</v>
      </c>
      <c r="J72" s="207" t="str">
        <f ca="1">IF(ISERROR($V72),"",OFFSET('Smelter Look-up'!$I$4,$V72-4,0))</f>
        <v>Anhui Sheng</v>
      </c>
      <c r="K72" s="150"/>
      <c r="L72" s="150"/>
      <c r="M72" s="150"/>
      <c r="N72" s="150"/>
      <c r="O72" s="150" t="s">
        <v>20080</v>
      </c>
      <c r="P72" s="209"/>
      <c r="Q72" s="151"/>
      <c r="R72" s="149" t="str">
        <f ca="1">IF(ISERROR($V72),"",OFFSET('Smelter Look-up'!$C$4,$V72-4,0)&amp;"")</f>
        <v>Hefei Rongjie Metal Technology Co., Ltd.</v>
      </c>
      <c r="S72" s="155" t="str">
        <f t="shared" ca="1" si="7"/>
        <v>CN</v>
      </c>
      <c r="T72" s="155" t="str">
        <f ca="1">IF(B72="","",IF(ISERROR(MATCH($J72,SorP!$B$1:$B$6226,0)),"",INDIRECT("'SorP'!$A$"&amp;MATCH($S72&amp;$J72,SorP!C:C,0))))</f>
        <v>CN-AH</v>
      </c>
      <c r="U72" s="168"/>
      <c r="V72" s="169">
        <f ca="1">IF(C72="",NA(),MATCH($B72&amp;$C72,'Smelter Look-up'!$J:$J,0))</f>
        <v>47</v>
      </c>
      <c r="X72" s="170">
        <f t="shared" ca="1" si="6"/>
        <v>0</v>
      </c>
      <c r="AB72" s="314" t="str">
        <f t="shared" ca="1" si="8"/>
        <v>Cobalt</v>
      </c>
    </row>
    <row r="73" spans="1:28" s="170" customFormat="1" ht="63.75">
      <c r="A73" s="155" t="s">
        <v>290</v>
      </c>
      <c r="B73" s="304" t="str">
        <f ca="1">IF(LEN(A73)=0,"",INDEX('Smelter Look-up'!$A:$A,MATCH($A73,'Smelter Look-up'!$E:$E,0)))</f>
        <v>Cobalt</v>
      </c>
      <c r="C73" s="152" t="str">
        <f ca="1">IF(LEN(A73)=0,"",INDEX('Smelter Look-up'!$C:$C,MATCH($A73,'Smelter Look-up'!$E:$E,0)))</f>
        <v>W&amp;Q Metal Products Co., Limited</v>
      </c>
      <c r="D73" s="149"/>
      <c r="E73" s="149" t="str">
        <f ca="1">IF(ISERROR($V73),"",OFFSET('Smelter Look-up'!$D$4,$V73-4,0)&amp;"")</f>
        <v>CHINA</v>
      </c>
      <c r="F73" s="149" t="str">
        <f ca="1">IF(ISERROR($V73),"",OFFSET('Smelter Look-up'!$E$4,$V73-4,0))</f>
        <v>CID003640</v>
      </c>
      <c r="G73" s="149" t="str">
        <f ca="1">IF(C73=$X$4,"Enter smelter details",IF(ISERROR($V73),"",OFFSET('Smelter Look-up'!$F$4,$V73-4,0)))</f>
        <v>RMI</v>
      </c>
      <c r="H73" s="206">
        <f ca="1">IF(ISERROR($V73),"",OFFSET('Smelter Look-up'!$G$4,$V73-4,0))</f>
        <v>0</v>
      </c>
      <c r="I73" s="207" t="str">
        <f ca="1">IF(ISERROR($V73),"",OFFSET('Smelter Look-up'!$H$4,$V73-4,0))</f>
        <v>Baoding</v>
      </c>
      <c r="J73" s="207" t="str">
        <f ca="1">IF(ISERROR($V73),"",OFFSET('Smelter Look-up'!$I$4,$V73-4,0))</f>
        <v>Hebei Sheng</v>
      </c>
      <c r="K73" s="150"/>
      <c r="L73" s="150"/>
      <c r="M73" s="150"/>
      <c r="N73" s="150"/>
      <c r="O73" s="150" t="s">
        <v>20080</v>
      </c>
      <c r="P73" s="209"/>
      <c r="Q73" s="151"/>
      <c r="R73" s="149" t="str">
        <f ca="1">IF(ISERROR($V73),"",OFFSET('Smelter Look-up'!$C$4,$V73-4,0)&amp;"")</f>
        <v>W&amp;Q Metal Products Co., Limited</v>
      </c>
      <c r="S73" s="155" t="str">
        <f t="shared" ca="1" si="7"/>
        <v>CN</v>
      </c>
      <c r="T73" s="155" t="str">
        <f ca="1">IF(B73="","",IF(ISERROR(MATCH($J73,SorP!$B$1:$B$6226,0)),"",INDIRECT("'SorP'!$A$"&amp;MATCH($S73&amp;$J73,SorP!C:C,0))))</f>
        <v>CN-HE</v>
      </c>
      <c r="U73" s="168"/>
      <c r="V73" s="169">
        <f ca="1">IF(C73="",NA(),MATCH($B73&amp;$C73,'Smelter Look-up'!$J:$J,0))</f>
        <v>161</v>
      </c>
      <c r="X73" s="170">
        <f t="shared" ca="1" si="6"/>
        <v>0</v>
      </c>
      <c r="AB73" s="314" t="str">
        <f t="shared" ca="1" si="8"/>
        <v>Cobalt</v>
      </c>
    </row>
    <row r="74" spans="1:28" s="170" customFormat="1" ht="89.25">
      <c r="A74" s="155" t="s">
        <v>296</v>
      </c>
      <c r="B74" s="304" t="str">
        <f ca="1">IF(LEN(A74)=0,"",INDEX('Smelter Look-up'!$A:$A,MATCH($A74,'Smelter Look-up'!$E:$E,0)))</f>
        <v>Cobalt</v>
      </c>
      <c r="C74" s="152" t="str">
        <f ca="1">IF(LEN(A74)=0,"",INDEX('Smelter Look-up'!$C:$C,MATCH($A74,'Smelter Look-up'!$E:$E,0)))</f>
        <v>XTC New Energy Materials (Xiamen) LTD.</v>
      </c>
      <c r="D74" s="149"/>
      <c r="E74" s="149" t="str">
        <f ca="1">IF(ISERROR($V74),"",OFFSET('Smelter Look-up'!$D$4,$V74-4,0)&amp;"")</f>
        <v>CHINA</v>
      </c>
      <c r="F74" s="149" t="str">
        <f ca="1">IF(ISERROR($V74),"",OFFSET('Smelter Look-up'!$E$4,$V74-4,0))</f>
        <v>CID003376</v>
      </c>
      <c r="G74" s="149" t="str">
        <f ca="1">IF(C74=$X$4,"Enter smelter details",IF(ISERROR($V74),"",OFFSET('Smelter Look-up'!$F$4,$V74-4,0)))</f>
        <v>RMI</v>
      </c>
      <c r="H74" s="206">
        <f ca="1">IF(ISERROR($V74),"",OFFSET('Smelter Look-up'!$G$4,$V74-4,0))</f>
        <v>0</v>
      </c>
      <c r="I74" s="207" t="str">
        <f ca="1">IF(ISERROR($V74),"",OFFSET('Smelter Look-up'!$H$4,$V74-4,0))</f>
        <v>Xiamen</v>
      </c>
      <c r="J74" s="207" t="str">
        <f ca="1">IF(ISERROR($V74),"",OFFSET('Smelter Look-up'!$I$4,$V74-4,0))</f>
        <v>Fujian Sheng</v>
      </c>
      <c r="K74" s="150"/>
      <c r="L74" s="150"/>
      <c r="M74" s="150"/>
      <c r="N74" s="150"/>
      <c r="O74" s="150" t="s">
        <v>20080</v>
      </c>
      <c r="P74" s="209"/>
      <c r="Q74" s="151"/>
      <c r="R74" s="149" t="str">
        <f ca="1">IF(ISERROR($V74),"",OFFSET('Smelter Look-up'!$C$4,$V74-4,0)&amp;"")</f>
        <v>XTC New Energy Materials (Xiamen) LTD.</v>
      </c>
      <c r="S74" s="155" t="str">
        <f t="shared" ca="1" si="7"/>
        <v>CN</v>
      </c>
      <c r="T74" s="155" t="str">
        <f ca="1">IF(B74="","",IF(ISERROR(MATCH($J74,SorP!$B$1:$B$6226,0)),"",INDIRECT("'SorP'!$A$"&amp;MATCH($S74&amp;$J74,SorP!C:C,0))))</f>
        <v>CN-FJ</v>
      </c>
      <c r="U74" s="168"/>
      <c r="V74" s="169">
        <f ca="1">IF(C74="",NA(),MATCH($B74&amp;$C74,'Smelter Look-up'!$J:$J,0))</f>
        <v>164</v>
      </c>
      <c r="X74" s="170">
        <f t="shared" ca="1" si="6"/>
        <v>0</v>
      </c>
      <c r="AB74" s="314" t="str">
        <f t="shared" ca="1" si="8"/>
        <v>Cobalt</v>
      </c>
    </row>
    <row r="75" spans="1:28" s="170" customFormat="1" ht="63.75">
      <c r="A75" s="155" t="s">
        <v>254</v>
      </c>
      <c r="B75" s="304" t="str">
        <f ca="1">IF(LEN(A75)=0,"",INDEX('Smelter Look-up'!$A:$A,MATCH($A75,'Smelter Look-up'!$E:$E,0)))</f>
        <v>Cobalt</v>
      </c>
      <c r="C75" s="152" t="str">
        <f ca="1">IF(LEN(A75)=0,"",INDEX('Smelter Look-up'!$C:$C,MATCH($A75,'Smelter Look-up'!$E:$E,0)))</f>
        <v>PT Mechema Indonesia</v>
      </c>
      <c r="D75" s="149"/>
      <c r="E75" s="149" t="str">
        <f ca="1">IF(ISERROR($V75),"",OFFSET('Smelter Look-up'!$D$4,$V75-4,0)&amp;"")</f>
        <v>INDONESIA</v>
      </c>
      <c r="F75" s="149" t="str">
        <f ca="1">IF(ISERROR($V75),"",OFFSET('Smelter Look-up'!$E$4,$V75-4,0))</f>
        <v>CID003538</v>
      </c>
      <c r="G75" s="149" t="str">
        <f ca="1">IF(C75=$X$4,"Enter smelter details",IF(ISERROR($V75),"",OFFSET('Smelter Look-up'!$F$4,$V75-4,0)))</f>
        <v>RMI</v>
      </c>
      <c r="H75" s="206">
        <f ca="1">IF(ISERROR($V75),"",OFFSET('Smelter Look-up'!$G$4,$V75-4,0))</f>
        <v>0</v>
      </c>
      <c r="I75" s="207" t="str">
        <f ca="1">IF(ISERROR($V75),"",OFFSET('Smelter Look-up'!$H$4,$V75-4,0))</f>
        <v>Bekasi</v>
      </c>
      <c r="J75" s="207" t="str">
        <f ca="1">IF(ISERROR($V75),"",OFFSET('Smelter Look-up'!$I$4,$V75-4,0))</f>
        <v>Jawa Barat</v>
      </c>
      <c r="K75" s="150"/>
      <c r="L75" s="150"/>
      <c r="M75" s="150"/>
      <c r="N75" s="150"/>
      <c r="O75" s="150" t="s">
        <v>20080</v>
      </c>
      <c r="P75" s="209"/>
      <c r="Q75" s="151"/>
      <c r="R75" s="149" t="str">
        <f ca="1">IF(ISERROR($V75),"",OFFSET('Smelter Look-up'!$C$4,$V75-4,0)&amp;"")</f>
        <v>PT Mechema Indonesia</v>
      </c>
      <c r="S75" s="155" t="str">
        <f t="shared" ca="1" si="7"/>
        <v>ID</v>
      </c>
      <c r="T75" s="155" t="str">
        <f ca="1">IF(B75="","",IF(ISERROR(MATCH($J75,SorP!$B$1:$B$6226,0)),"",INDIRECT("'SorP'!$A$"&amp;MATCH($S75&amp;$J75,SorP!C:C,0))))</f>
        <v>ID-JB</v>
      </c>
      <c r="U75" s="168"/>
      <c r="V75" s="169">
        <f ca="1">IF(C75="",NA(),MATCH($B75&amp;$C75,'Smelter Look-up'!$J:$J,0))</f>
        <v>130</v>
      </c>
      <c r="X75" s="170">
        <f t="shared" ca="1" si="6"/>
        <v>0</v>
      </c>
      <c r="AB75" s="314" t="str">
        <f t="shared" ca="1" si="8"/>
        <v>Cobalt</v>
      </c>
    </row>
    <row r="76" spans="1:28" s="170" customFormat="1" ht="38.25">
      <c r="A76" s="155" t="s">
        <v>262</v>
      </c>
      <c r="B76" s="304" t="str">
        <f ca="1">IF(LEN(A76)=0,"",INDEX('Smelter Look-up'!$A:$A,MATCH($A76,'Smelter Look-up'!$E:$E,0)))</f>
        <v>Cobalt</v>
      </c>
      <c r="C76" s="152" t="str">
        <f ca="1">IF(LEN(A76)=0,"",INDEX('Smelter Look-up'!$C:$C,MATCH($A76,'Smelter Look-up'!$E:$E,0)))</f>
        <v>Ruashi Mining SAS</v>
      </c>
      <c r="D76" s="149"/>
      <c r="E76" s="149" t="str">
        <f ca="1">IF(ISERROR($V76),"",OFFSET('Smelter Look-up'!$D$4,$V76-4,0)&amp;"")</f>
        <v>CONGO, DEMOCRATIC REPUBLIC OF THE</v>
      </c>
      <c r="F76" s="149" t="str">
        <f ca="1">IF(ISERROR($V76),"",OFFSET('Smelter Look-up'!$E$4,$V76-4,0))</f>
        <v>CID003442</v>
      </c>
      <c r="G76" s="149" t="str">
        <f ca="1">IF(C76=$X$4,"Enter smelter details",IF(ISERROR($V76),"",OFFSET('Smelter Look-up'!$F$4,$V76-4,0)))</f>
        <v>RMI</v>
      </c>
      <c r="H76" s="206">
        <f ca="1">IF(ISERROR($V76),"",OFFSET('Smelter Look-up'!$G$4,$V76-4,0))</f>
        <v>0</v>
      </c>
      <c r="I76" s="207" t="str">
        <f ca="1">IF(ISERROR($V76),"",OFFSET('Smelter Look-up'!$H$4,$V76-4,0))</f>
        <v>Luano</v>
      </c>
      <c r="J76" s="207" t="str">
        <f ca="1">IF(ISERROR($V76),"",OFFSET('Smelter Look-up'!$I$4,$V76-4,0))</f>
        <v>Haut-Katanga</v>
      </c>
      <c r="K76" s="150"/>
      <c r="L76" s="150"/>
      <c r="M76" s="150"/>
      <c r="N76" s="150"/>
      <c r="O76" s="150" t="s">
        <v>20080</v>
      </c>
      <c r="P76" s="209"/>
      <c r="Q76" s="151"/>
      <c r="R76" s="149" t="str">
        <f ca="1">IF(ISERROR($V76),"",OFFSET('Smelter Look-up'!$C$4,$V76-4,0)&amp;"")</f>
        <v>Ruashi Mining SAS</v>
      </c>
      <c r="S76" s="155" t="str">
        <f t="shared" ca="1" si="7"/>
        <v>CD</v>
      </c>
      <c r="T76" s="155" t="str">
        <f ca="1">IF(B76="","",IF(ISERROR(MATCH($J76,SorP!$B$1:$B$6226,0)),"",INDIRECT("'SorP'!$A$"&amp;MATCH($S76&amp;$J76,SorP!C:C,0))))</f>
        <v>CD-HK</v>
      </c>
      <c r="U76" s="168"/>
      <c r="V76" s="169">
        <f ca="1">IF(C76="",NA(),MATCH($B76&amp;$C76,'Smelter Look-up'!$J:$J,0))</f>
        <v>135</v>
      </c>
      <c r="X76" s="170">
        <f t="shared" ca="1" si="6"/>
        <v>0</v>
      </c>
      <c r="AB76" s="314" t="str">
        <f t="shared" ca="1" si="8"/>
        <v>Cobalt</v>
      </c>
    </row>
    <row r="77" spans="1:28" s="170" customFormat="1" ht="51">
      <c r="A77" s="155" t="s">
        <v>209</v>
      </c>
      <c r="B77" s="304" t="str">
        <f ca="1">IF(LEN(A77)=0,"",INDEX('Smelter Look-up'!$A:$A,MATCH($A77,'Smelter Look-up'!$E:$E,0)))</f>
        <v>Cobalt</v>
      </c>
      <c r="C77" s="152" t="str">
        <f ca="1">IF(LEN(A77)=0,"",INDEX('Smelter Look-up'!$C:$C,MATCH($A77,'Smelter Look-up'!$E:$E,0)))</f>
        <v>Mechema Taiwan Plant 1</v>
      </c>
      <c r="D77" s="149"/>
      <c r="E77" s="149" t="str">
        <f ca="1">IF(ISERROR($V77),"",OFFSET('Smelter Look-up'!$D$4,$V77-4,0)&amp;"")</f>
        <v>TAIWAN, PROVINCE OF CHINA</v>
      </c>
      <c r="F77" s="149" t="str">
        <f ca="1">IF(ISERROR($V77),"",OFFSET('Smelter Look-up'!$E$4,$V77-4,0))</f>
        <v>CID003533</v>
      </c>
      <c r="G77" s="149" t="str">
        <f ca="1">IF(C77=$X$4,"Enter smelter details",IF(ISERROR($V77),"",OFFSET('Smelter Look-up'!$F$4,$V77-4,0)))</f>
        <v>RMI</v>
      </c>
      <c r="H77" s="206">
        <f ca="1">IF(ISERROR($V77),"",OFFSET('Smelter Look-up'!$G$4,$V77-4,0))</f>
        <v>0</v>
      </c>
      <c r="I77" s="207" t="str">
        <f ca="1">IF(ISERROR($V77),"",OFFSET('Smelter Look-up'!$H$4,$V77-4,0))</f>
        <v>Taoyuan</v>
      </c>
      <c r="J77" s="207" t="str">
        <f ca="1">IF(ISERROR($V77),"",OFFSET('Smelter Look-up'!$I$4,$V77-4,0))</f>
        <v>Taoyuan</v>
      </c>
      <c r="K77" s="150"/>
      <c r="L77" s="150"/>
      <c r="M77" s="150"/>
      <c r="N77" s="150"/>
      <c r="O77" s="150" t="s">
        <v>20080</v>
      </c>
      <c r="P77" s="209"/>
      <c r="Q77" s="151"/>
      <c r="R77" s="149" t="str">
        <f ca="1">IF(ISERROR($V77),"",OFFSET('Smelter Look-up'!$C$4,$V77-4,0)&amp;"")</f>
        <v>Mechema Taiwan Plant 1</v>
      </c>
      <c r="S77" s="155" t="str">
        <f t="shared" ca="1" si="7"/>
        <v>TW</v>
      </c>
      <c r="T77" s="155" t="str">
        <f ca="1">IF(B77="","",IF(ISERROR(MATCH($J77,SorP!$B$1:$B$6226,0)),"",INDIRECT("'SorP'!$A$"&amp;MATCH($S77&amp;$J77,SorP!C:C,0))))</f>
        <v>TW-TAO</v>
      </c>
      <c r="U77" s="168"/>
      <c r="V77" s="169">
        <f ca="1">IF(C77="",NA(),MATCH($B77&amp;$C77,'Smelter Look-up'!$J:$J,0))</f>
        <v>99</v>
      </c>
      <c r="X77" s="170">
        <f t="shared" ca="1" si="6"/>
        <v>0</v>
      </c>
      <c r="AB77" s="314" t="str">
        <f t="shared" ca="1" si="8"/>
        <v>Cobalt</v>
      </c>
    </row>
    <row r="78" spans="1:28" s="170" customFormat="1" ht="63.75">
      <c r="A78" s="155" t="s">
        <v>288</v>
      </c>
      <c r="B78" s="304" t="str">
        <f ca="1">IF(LEN(A78)=0,"",INDEX('Smelter Look-up'!$A:$A,MATCH($A78,'Smelter Look-up'!$E:$E,0)))</f>
        <v>Cobalt</v>
      </c>
      <c r="C78" s="152" t="str">
        <f ca="1">IF(LEN(A78)=0,"",INDEX('Smelter Look-up'!$C:$C,MATCH($A78,'Smelter Look-up'!$E:$E,0)))</f>
        <v>Vital Materials Workshop</v>
      </c>
      <c r="D78" s="149"/>
      <c r="E78" s="149" t="str">
        <f ca="1">IF(ISERROR($V78),"",OFFSET('Smelter Look-up'!$D$4,$V78-4,0)&amp;"")</f>
        <v>CHINA</v>
      </c>
      <c r="F78" s="149" t="str">
        <f ca="1">IF(ISERROR($V78),"",OFFSET('Smelter Look-up'!$E$4,$V78-4,0))</f>
        <v>CID003803</v>
      </c>
      <c r="G78" s="149" t="str">
        <f ca="1">IF(C78=$X$4,"Enter smelter details",IF(ISERROR($V78),"",OFFSET('Smelter Look-up'!$F$4,$V78-4,0)))</f>
        <v>RMI</v>
      </c>
      <c r="H78" s="206">
        <f ca="1">IF(ISERROR($V78),"",OFFSET('Smelter Look-up'!$G$4,$V78-4,0))</f>
        <v>0</v>
      </c>
      <c r="I78" s="207" t="str">
        <f ca="1">IF(ISERROR($V78),"",OFFSET('Smelter Look-up'!$H$4,$V78-4,0))</f>
        <v>Qingyuan City</v>
      </c>
      <c r="J78" s="207" t="str">
        <f ca="1">IF(ISERROR($V78),"",OFFSET('Smelter Look-up'!$I$4,$V78-4,0))</f>
        <v>Guangdong Sheng</v>
      </c>
      <c r="K78" s="150"/>
      <c r="L78" s="150"/>
      <c r="M78" s="150"/>
      <c r="N78" s="150"/>
      <c r="O78" s="150" t="s">
        <v>20080</v>
      </c>
      <c r="P78" s="209"/>
      <c r="Q78" s="151"/>
      <c r="R78" s="149" t="str">
        <f ca="1">IF(ISERROR($V78),"",OFFSET('Smelter Look-up'!$C$4,$V78-4,0)&amp;"")</f>
        <v>Vital Materials Workshop</v>
      </c>
      <c r="S78" s="155" t="str">
        <f t="shared" ca="1" si="7"/>
        <v>CN</v>
      </c>
      <c r="T78" s="155" t="str">
        <f ca="1">IF(B78="","",IF(ISERROR(MATCH($J78,SorP!$B$1:$B$6226,0)),"",INDIRECT("'SorP'!$A$"&amp;MATCH($S78&amp;$J78,SorP!C:C,0))))</f>
        <v>CN-GD</v>
      </c>
      <c r="U78" s="168"/>
      <c r="V78" s="169">
        <f ca="1">IF(C78="",NA(),MATCH($B78&amp;$C78,'Smelter Look-up'!$J:$J,0))</f>
        <v>160</v>
      </c>
      <c r="X78" s="170">
        <f t="shared" ca="1" si="6"/>
        <v>0</v>
      </c>
      <c r="AB78" s="314" t="str">
        <f t="shared" ca="1" si="8"/>
        <v>Cobalt</v>
      </c>
    </row>
    <row r="79" spans="1:28" s="170" customFormat="1" ht="76.5">
      <c r="A79" s="155" t="s">
        <v>19161</v>
      </c>
      <c r="B79" s="304" t="str">
        <f ca="1">IF(LEN(A79)=0,"",INDEX('Smelter Look-up'!$A:$A,MATCH($A79,'Smelter Look-up'!$E:$E,0)))</f>
        <v>Cobalt</v>
      </c>
      <c r="C79" s="152" t="str">
        <f ca="1">IF(LEN(A79)=0,"",INDEX('Smelter Look-up'!$C:$C,MATCH($A79,'Smelter Look-up'!$E:$E,0)))</f>
        <v>Coral Bay Nickel Corporation (CBNC)</v>
      </c>
      <c r="D79" s="149"/>
      <c r="E79" s="149" t="str">
        <f ca="1">IF(ISERROR($V79),"",OFFSET('Smelter Look-up'!$D$4,$V79-4,0)&amp;"")</f>
        <v>PHILIPPINES</v>
      </c>
      <c r="F79" s="149" t="str">
        <f ca="1">IF(ISERROR($V79),"",OFFSET('Smelter Look-up'!$E$4,$V79-4,0))</f>
        <v>CID003282</v>
      </c>
      <c r="G79" s="149" t="str">
        <f ca="1">IF(C79=$X$4,"Enter smelter details",IF(ISERROR($V79),"",OFFSET('Smelter Look-up'!$F$4,$V79-4,0)))</f>
        <v>RMI</v>
      </c>
      <c r="H79" s="206">
        <f ca="1">IF(ISERROR($V79),"",OFFSET('Smelter Look-up'!$G$4,$V79-4,0))</f>
        <v>0</v>
      </c>
      <c r="I79" s="207" t="str">
        <f ca="1">IF(ISERROR($V79),"",OFFSET('Smelter Look-up'!$H$4,$V79-4,0))</f>
        <v>Barangay Rio Tuba</v>
      </c>
      <c r="J79" s="207" t="str">
        <f ca="1">IF(ISERROR($V79),"",OFFSET('Smelter Look-up'!$I$4,$V79-4,0))</f>
        <v>Palawan</v>
      </c>
      <c r="K79" s="150"/>
      <c r="L79" s="150"/>
      <c r="M79" s="150"/>
      <c r="N79" s="150"/>
      <c r="O79" s="150" t="s">
        <v>20080</v>
      </c>
      <c r="P79" s="209"/>
      <c r="Q79" s="151"/>
      <c r="R79" s="149" t="str">
        <f ca="1">IF(ISERROR($V79),"",OFFSET('Smelter Look-up'!$C$4,$V79-4,0)&amp;"")</f>
        <v>Coral Bay Nickel Corporation (CBNC)</v>
      </c>
      <c r="S79" s="155" t="str">
        <f t="shared" ca="1" si="7"/>
        <v>PH</v>
      </c>
      <c r="T79" s="155" t="str">
        <f ca="1">IF(B79="","",IF(ISERROR(MATCH($J79,SorP!$B$1:$B$6226,0)),"",INDIRECT("'SorP'!$A$"&amp;MATCH($S79&amp;$J79,SorP!C:C,0))))</f>
        <v>PH-PLW</v>
      </c>
      <c r="U79" s="168"/>
      <c r="V79" s="169">
        <f ca="1">IF(C79="",NA(),MATCH($B79&amp;$C79,'Smelter Look-up'!$J:$J,0))</f>
        <v>17</v>
      </c>
      <c r="X79" s="170">
        <f t="shared" ca="1" si="6"/>
        <v>0</v>
      </c>
      <c r="AB79" s="314" t="str">
        <f t="shared" ca="1" si="8"/>
        <v>Cobalt</v>
      </c>
    </row>
    <row r="80" spans="1:28" s="170" customFormat="1" ht="89.25">
      <c r="A80" s="155" t="s">
        <v>19177</v>
      </c>
      <c r="B80" s="304" t="str">
        <f ca="1">IF(LEN(A80)=0,"",INDEX('Smelter Look-up'!$A:$A,MATCH($A80,'Smelter Look-up'!$E:$E,0)))</f>
        <v>Cobalt</v>
      </c>
      <c r="C80" s="152" t="str">
        <f ca="1">IF(LEN(A80)=0,"",INDEX('Smelter Look-up'!$C:$C,MATCH($A80,'Smelter Look-up'!$E:$E,0)))</f>
        <v>Taganito HPAL Nickel Corporation (THPAL)</v>
      </c>
      <c r="D80" s="149"/>
      <c r="E80" s="149" t="str">
        <f ca="1">IF(ISERROR($V80),"",OFFSET('Smelter Look-up'!$D$4,$V80-4,0)&amp;"")</f>
        <v>PHILIPPINES</v>
      </c>
      <c r="F80" s="149" t="str">
        <f ca="1">IF(ISERROR($V80),"",OFFSET('Smelter Look-up'!$E$4,$V80-4,0))</f>
        <v>CID003283</v>
      </c>
      <c r="G80" s="149" t="str">
        <f ca="1">IF(C80=$X$4,"Enter smelter details",IF(ISERROR($V80),"",OFFSET('Smelter Look-up'!$F$4,$V80-4,0)))</f>
        <v>RMI</v>
      </c>
      <c r="H80" s="206">
        <f ca="1">IF(ISERROR($V80),"",OFFSET('Smelter Look-up'!$G$4,$V80-4,0))</f>
        <v>0</v>
      </c>
      <c r="I80" s="207" t="str">
        <f ca="1">IF(ISERROR($V80),"",OFFSET('Smelter Look-up'!$H$4,$V80-4,0))</f>
        <v>Claver</v>
      </c>
      <c r="J80" s="207" t="str">
        <f ca="1">IF(ISERROR($V80),"",OFFSET('Smelter Look-up'!$I$4,$V80-4,0))</f>
        <v>Surigao del Norte</v>
      </c>
      <c r="K80" s="150"/>
      <c r="L80" s="150"/>
      <c r="M80" s="150"/>
      <c r="N80" s="150"/>
      <c r="O80" s="150" t="s">
        <v>20080</v>
      </c>
      <c r="P80" s="209"/>
      <c r="Q80" s="151"/>
      <c r="R80" s="149" t="str">
        <f ca="1">IF(ISERROR($V80),"",OFFSET('Smelter Look-up'!$C$4,$V80-4,0)&amp;"")</f>
        <v>Taganito HPAL Nickel Corporation (THPAL)</v>
      </c>
      <c r="S80" s="155" t="str">
        <f t="shared" ca="1" si="7"/>
        <v>PH</v>
      </c>
      <c r="T80" s="155" t="str">
        <f ca="1">IF(B80="","",IF(ISERROR(MATCH($J80,SorP!$B$1:$B$6226,0)),"",INDIRECT("'SorP'!$A$"&amp;MATCH($S80&amp;$J80,SorP!C:C,0))))</f>
        <v>PH-SUN</v>
      </c>
      <c r="U80" s="168"/>
      <c r="V80" s="169">
        <f ca="1">IF(C80="",NA(),MATCH($B80&amp;$C80,'Smelter Look-up'!$J:$J,0))</f>
        <v>146</v>
      </c>
      <c r="X80" s="170">
        <f t="shared" ca="1" si="6"/>
        <v>0</v>
      </c>
      <c r="AB80" s="314" t="str">
        <f t="shared" ca="1" si="8"/>
        <v>Cobalt</v>
      </c>
    </row>
    <row r="81" spans="1:28" s="170" customFormat="1" ht="89.25">
      <c r="A81" s="155" t="s">
        <v>12207</v>
      </c>
      <c r="B81" s="304" t="str">
        <f ca="1">IF(LEN(A81)=0,"",INDEX('Smelter Look-up'!$A:$A,MATCH($A81,'Smelter Look-up'!$E:$E,0)))</f>
        <v>Cobalt</v>
      </c>
      <c r="C81" s="152" t="str">
        <f ca="1">IF(LEN(A81)=0,"",INDEX('Smelter Look-up'!$C:$C,MATCH($A81,'Smelter Look-up'!$E:$E,0)))</f>
        <v>Nam Viet Cromit Joint Stock Company</v>
      </c>
      <c r="D81" s="149"/>
      <c r="E81" s="149" t="str">
        <f ca="1">IF(ISERROR($V81),"",OFFSET('Smelter Look-up'!$D$4,$V81-4,0)&amp;"")</f>
        <v>VIET NAM</v>
      </c>
      <c r="F81" s="149" t="str">
        <f ca="1">IF(ISERROR($V81),"",OFFSET('Smelter Look-up'!$E$4,$V81-4,0))</f>
        <v>CID004033</v>
      </c>
      <c r="G81" s="149" t="str">
        <f ca="1">IF(C81=$X$4,"Enter smelter details",IF(ISERROR($V81),"",OFFSET('Smelter Look-up'!$F$4,$V81-4,0)))</f>
        <v>RMI</v>
      </c>
      <c r="H81" s="206">
        <f ca="1">IF(ISERROR($V81),"",OFFSET('Smelter Look-up'!$G$4,$V81-4,0))</f>
        <v>0</v>
      </c>
      <c r="I81" s="207" t="str">
        <f ca="1">IF(ISERROR($V81),"",OFFSET('Smelter Look-up'!$H$4,$V81-4,0))</f>
        <v>Trieu Son</v>
      </c>
      <c r="J81" s="207" t="str">
        <f ca="1">IF(ISERROR($V81),"",OFFSET('Smelter Look-up'!$I$4,$V81-4,0))</f>
        <v>Thanh Hóa</v>
      </c>
      <c r="K81" s="150"/>
      <c r="L81" s="150"/>
      <c r="M81" s="150"/>
      <c r="N81" s="150"/>
      <c r="O81" s="150" t="s">
        <v>20080</v>
      </c>
      <c r="P81" s="209"/>
      <c r="Q81" s="151"/>
      <c r="R81" s="149" t="str">
        <f ca="1">IF(ISERROR($V81),"",OFFSET('Smelter Look-up'!$C$4,$V81-4,0)&amp;"")</f>
        <v>Nam Viet Cromit Joint Stock Company</v>
      </c>
      <c r="S81" s="155" t="str">
        <f t="shared" ca="1" si="7"/>
        <v>VN</v>
      </c>
      <c r="T81" s="155" t="str">
        <f ca="1">IF(B81="","",IF(ISERROR(MATCH($J81,SorP!$B$1:$B$6226,0)),"",INDIRECT("'SorP'!$A$"&amp;MATCH($S81&amp;$J81,SorP!C:C,0))))</f>
        <v>VN-21</v>
      </c>
      <c r="U81" s="168"/>
      <c r="V81" s="169">
        <f ca="1">IF(C81="",NA(),MATCH($B81&amp;$C81,'Smelter Look-up'!$J:$J,0))</f>
        <v>114</v>
      </c>
      <c r="X81" s="170">
        <f t="shared" ca="1" si="6"/>
        <v>0</v>
      </c>
      <c r="AB81" s="314" t="str">
        <f t="shared" ca="1" si="8"/>
        <v>Cobalt</v>
      </c>
    </row>
    <row r="82" spans="1:28" s="170" customFormat="1" ht="140.25">
      <c r="A82" s="155" t="s">
        <v>174</v>
      </c>
      <c r="B82" s="304" t="str">
        <f ca="1">IF(LEN(A82)=0,"",INDEX('Smelter Look-up'!$A:$A,MATCH($A82,'Smelter Look-up'!$E:$E,0)))</f>
        <v>Cobalt</v>
      </c>
      <c r="C82" s="152" t="str">
        <f ca="1">IF(LEN(A82)=0,"",INDEX('Smelter Look-up'!$C:$C,MATCH($A82,'Smelter Look-up'!$E:$E,0)))</f>
        <v>JSC Kolskaya Mining and Metallurgical Company (Kola MMC)</v>
      </c>
      <c r="D82" s="149"/>
      <c r="E82" s="149" t="str">
        <f ca="1">IF(ISERROR($V82),"",OFFSET('Smelter Look-up'!$D$4,$V82-4,0)&amp;"")</f>
        <v>RUSSIAN FEDERATION</v>
      </c>
      <c r="F82" s="149" t="str">
        <f ca="1">IF(ISERROR($V82),"",OFFSET('Smelter Look-up'!$E$4,$V82-4,0))</f>
        <v>CID003233</v>
      </c>
      <c r="G82" s="149" t="str">
        <f ca="1">IF(C82=$X$4,"Enter smelter details",IF(ISERROR($V82),"",OFFSET('Smelter Look-up'!$F$4,$V82-4,0)))</f>
        <v>RMI</v>
      </c>
      <c r="H82" s="206">
        <f ca="1">IF(ISERROR($V82),"",OFFSET('Smelter Look-up'!$G$4,$V82-4,0))</f>
        <v>0</v>
      </c>
      <c r="I82" s="207" t="str">
        <f ca="1">IF(ISERROR($V82),"",OFFSET('Smelter Look-up'!$H$4,$V82-4,0))</f>
        <v>Monchegorsk</v>
      </c>
      <c r="J82" s="207" t="str">
        <f ca="1">IF(ISERROR($V82),"",OFFSET('Smelter Look-up'!$I$4,$V82-4,0))</f>
        <v>Murmanskaya oblast'</v>
      </c>
      <c r="K82" s="150"/>
      <c r="L82" s="150"/>
      <c r="M82" s="150"/>
      <c r="N82" s="150"/>
      <c r="O82" s="150" t="s">
        <v>20080</v>
      </c>
      <c r="P82" s="209"/>
      <c r="Q82" s="151"/>
      <c r="R82" s="149" t="str">
        <f ca="1">IF(ISERROR($V82),"",OFFSET('Smelter Look-up'!$C$4,$V82-4,0)&amp;"")</f>
        <v>JSC Kolskaya Mining and Metallurgical Company (Kola MMC)</v>
      </c>
      <c r="S82" s="155" t="str">
        <f t="shared" ca="1" si="7"/>
        <v>RU</v>
      </c>
      <c r="T82" s="155" t="str">
        <f ca="1">IF(B82="","",IF(ISERROR(MATCH($J82,SorP!$B$1:$B$6226,0)),"",INDIRECT("'SorP'!$A$"&amp;MATCH($S82&amp;$J82,SorP!C:C,0))))</f>
        <v>RU-MUR</v>
      </c>
      <c r="U82" s="168"/>
      <c r="V82" s="169">
        <f ca="1">IF(C82="",NA(),MATCH($B82&amp;$C82,'Smelter Look-up'!$J:$J,0))</f>
        <v>75</v>
      </c>
      <c r="X82" s="170">
        <f t="shared" ca="1" si="6"/>
        <v>0</v>
      </c>
      <c r="AB82" s="314" t="str">
        <f t="shared" ca="1" si="8"/>
        <v>Cobalt</v>
      </c>
    </row>
    <row r="83" spans="1:28" s="170" customFormat="1" ht="25.5">
      <c r="A83" s="155" t="s">
        <v>189</v>
      </c>
      <c r="B83" s="304" t="str">
        <f ca="1">IF(LEN(A83)=0,"",INDEX('Smelter Look-up'!$A:$A,MATCH($A83,'Smelter Look-up'!$E:$E,0)))</f>
        <v>Cobalt</v>
      </c>
      <c r="C83" s="152" t="str">
        <f ca="1">IF(LEN(A83)=0,"",INDEX('Smelter Look-up'!$C:$C,MATCH($A83,'Smelter Look-up'!$E:$E,0)))</f>
        <v>LLC Vostok</v>
      </c>
      <c r="D83" s="149"/>
      <c r="E83" s="149" t="str">
        <f ca="1">IF(ISERROR($V83),"",OFFSET('Smelter Look-up'!$D$4,$V83-4,0)&amp;"")</f>
        <v>RUSSIAN FEDERATION</v>
      </c>
      <c r="F83" s="149" t="str">
        <f ca="1">IF(ISERROR($V83),"",OFFSET('Smelter Look-up'!$E$4,$V83-4,0))</f>
        <v>CID003704</v>
      </c>
      <c r="G83" s="149" t="str">
        <f ca="1">IF(C83=$X$4,"Enter smelter details",IF(ISERROR($V83),"",OFFSET('Smelter Look-up'!$F$4,$V83-4,0)))</f>
        <v>RMI</v>
      </c>
      <c r="H83" s="206">
        <f ca="1">IF(ISERROR($V83),"",OFFSET('Smelter Look-up'!$G$4,$V83-4,0))</f>
        <v>0</v>
      </c>
      <c r="I83" s="207" t="str">
        <f ca="1">IF(ISERROR($V83),"",OFFSET('Smelter Look-up'!$H$4,$V83-4,0))</f>
        <v>Kostroma</v>
      </c>
      <c r="J83" s="207" t="str">
        <f ca="1">IF(ISERROR($V83),"",OFFSET('Smelter Look-up'!$I$4,$V83-4,0))</f>
        <v>Kostromskaya oblast'</v>
      </c>
      <c r="K83" s="150"/>
      <c r="L83" s="150"/>
      <c r="M83" s="150"/>
      <c r="N83" s="150"/>
      <c r="O83" s="150" t="s">
        <v>20080</v>
      </c>
      <c r="P83" s="209"/>
      <c r="Q83" s="151"/>
      <c r="R83" s="149" t="str">
        <f ca="1">IF(ISERROR($V83),"",OFFSET('Smelter Look-up'!$C$4,$V83-4,0)&amp;"")</f>
        <v>LLC Vostok</v>
      </c>
      <c r="S83" s="155" t="str">
        <f t="shared" ca="1" si="7"/>
        <v>RU</v>
      </c>
      <c r="T83" s="155" t="str">
        <f ca="1">IF(B83="","",IF(ISERROR(MATCH($J83,SorP!$B$1:$B$6226,0)),"",INDIRECT("'SorP'!$A$"&amp;MATCH($S83&amp;$J83,SorP!C:C,0))))</f>
        <v>RU-KOS</v>
      </c>
      <c r="U83" s="168"/>
      <c r="V83" s="169">
        <f ca="1">IF(C83="",NA(),MATCH($B83&amp;$C83,'Smelter Look-up'!$J:$J,0))</f>
        <v>90</v>
      </c>
      <c r="X83" s="170">
        <f t="shared" ca="1" si="6"/>
        <v>0</v>
      </c>
      <c r="AB83" s="314" t="str">
        <f t="shared" ca="1" si="8"/>
        <v>Cobalt</v>
      </c>
    </row>
    <row r="84" spans="1:28" s="170" customFormat="1" ht="63.75">
      <c r="A84" s="155" t="s">
        <v>96</v>
      </c>
      <c r="B84" s="304" t="str">
        <f ca="1">IF(LEN(A84)=0,"",INDEX('Smelter Look-up'!$A:$A,MATCH($A84,'Smelter Look-up'!$E:$E,0)))</f>
        <v>Cobalt</v>
      </c>
      <c r="C84" s="152" t="str">
        <f ca="1">IF(LEN(A84)=0,"",INDEX('Smelter Look-up'!$C:$C,MATCH($A84,'Smelter Look-up'!$E:$E,0)))</f>
        <v>Fort Saskatchewan Metals Facility</v>
      </c>
      <c r="D84" s="149"/>
      <c r="E84" s="149" t="str">
        <f ca="1">IF(ISERROR($V84),"",OFFSET('Smelter Look-up'!$D$4,$V84-4,0)&amp;"")</f>
        <v>CANADA</v>
      </c>
      <c r="F84" s="149" t="str">
        <f ca="1">IF(ISERROR($V84),"",OFFSET('Smelter Look-up'!$E$4,$V84-4,0))</f>
        <v>CID003242</v>
      </c>
      <c r="G84" s="149" t="str">
        <f ca="1">IF(C84=$X$4,"Enter smelter details",IF(ISERROR($V84),"",OFFSET('Smelter Look-up'!$F$4,$V84-4,0)))</f>
        <v>RMI</v>
      </c>
      <c r="H84" s="206">
        <f ca="1">IF(ISERROR($V84),"",OFFSET('Smelter Look-up'!$G$4,$V84-4,0))</f>
        <v>0</v>
      </c>
      <c r="I84" s="207" t="str">
        <f ca="1">IF(ISERROR($V84),"",OFFSET('Smelter Look-up'!$H$4,$V84-4,0))</f>
        <v>Toronto</v>
      </c>
      <c r="J84" s="207" t="str">
        <f ca="1">IF(ISERROR($V84),"",OFFSET('Smelter Look-up'!$I$4,$V84-4,0))</f>
        <v>Ontario</v>
      </c>
      <c r="K84" s="150"/>
      <c r="L84" s="150"/>
      <c r="M84" s="150"/>
      <c r="N84" s="150"/>
      <c r="O84" s="150" t="s">
        <v>20080</v>
      </c>
      <c r="P84" s="209"/>
      <c r="Q84" s="151"/>
      <c r="R84" s="149" t="str">
        <f ca="1">IF(ISERROR($V84),"",OFFSET('Smelter Look-up'!$C$4,$V84-4,0)&amp;"")</f>
        <v>Fort Saskatchewan Metals Facility</v>
      </c>
      <c r="S84" s="155" t="str">
        <f t="shared" ca="1" si="7"/>
        <v>CA</v>
      </c>
      <c r="T84" s="155" t="str">
        <f ca="1">IF(B84="","",IF(ISERROR(MATCH($J84,SorP!$B$1:$B$6226,0)),"",INDIRECT("'SorP'!$A$"&amp;MATCH($S84&amp;$J84,SorP!C:C,0))))</f>
        <v>CA-ON</v>
      </c>
      <c r="U84" s="168"/>
      <c r="V84" s="169">
        <f ca="1">IF(C84="",NA(),MATCH($B84&amp;$C84,'Smelter Look-up'!$J:$J,0))</f>
        <v>28</v>
      </c>
      <c r="X84" s="170">
        <f t="shared" ca="1" si="6"/>
        <v>0</v>
      </c>
      <c r="AB84" s="314" t="str">
        <f t="shared" ca="1" si="8"/>
        <v>Cobalt</v>
      </c>
    </row>
    <row r="85" spans="1:28" s="170" customFormat="1" ht="127.5">
      <c r="A85" s="155" t="s">
        <v>12056</v>
      </c>
      <c r="B85" s="304" t="str">
        <f ca="1">IF(LEN(A85)=0,"",INDEX('Smelter Look-up'!$A:$A,MATCH($A85,'Smelter Look-up'!$E:$E,0)))</f>
        <v>Cobalt</v>
      </c>
      <c r="C85" s="152" t="str">
        <f ca="1">IF(LEN(A85)=0,"",INDEX('Smelter Look-up'!$C:$C,MATCH($A85,'Smelter Look-up'!$E:$E,0)))</f>
        <v>Nadezhda Metallurgical Plant of MMC Norilsk Nickel's Polar Division</v>
      </c>
      <c r="D85" s="149"/>
      <c r="E85" s="149" t="str">
        <f ca="1">IF(ISERROR($V85),"",OFFSET('Smelter Look-up'!$D$4,$V85-4,0)&amp;"")</f>
        <v>RUSSIAN FEDERATION</v>
      </c>
      <c r="F85" s="149" t="str">
        <f ca="1">IF(ISERROR($V85),"",OFFSET('Smelter Look-up'!$E$4,$V85-4,0))</f>
        <v>CID004011</v>
      </c>
      <c r="G85" s="149" t="str">
        <f ca="1">IF(C85=$X$4,"Enter smelter details",IF(ISERROR($V85),"",OFFSET('Smelter Look-up'!$F$4,$V85-4,0)))</f>
        <v>RMI</v>
      </c>
      <c r="H85" s="206">
        <f ca="1">IF(ISERROR($V85),"",OFFSET('Smelter Look-up'!$G$4,$V85-4,0))</f>
        <v>0</v>
      </c>
      <c r="I85" s="207" t="str">
        <f ca="1">IF(ISERROR($V85),"",OFFSET('Smelter Look-up'!$H$4,$V85-4,0))</f>
        <v>Norilsk</v>
      </c>
      <c r="J85" s="207" t="str">
        <f ca="1">IF(ISERROR($V85),"",OFFSET('Smelter Look-up'!$I$4,$V85-4,0))</f>
        <v>Krasnoyarskiy kray</v>
      </c>
      <c r="K85" s="150"/>
      <c r="L85" s="150"/>
      <c r="M85" s="150"/>
      <c r="N85" s="150"/>
      <c r="O85" s="150" t="s">
        <v>20080</v>
      </c>
      <c r="P85" s="209"/>
      <c r="Q85" s="151"/>
      <c r="R85" s="149" t="str">
        <f ca="1">IF(ISERROR($V85),"",OFFSET('Smelter Look-up'!$C$4,$V85-4,0)&amp;"")</f>
        <v>Nadezhda Metallurgical Plant of MMC Norilsk Nickel's Polar Division</v>
      </c>
      <c r="S85" s="155" t="str">
        <f t="shared" ca="1" si="7"/>
        <v>RU</v>
      </c>
      <c r="T85" s="155" t="str">
        <f ca="1">IF(B85="","",IF(ISERROR(MATCH($J85,SorP!$B$1:$B$6226,0)),"",INDIRECT("'SorP'!$A$"&amp;MATCH($S85&amp;$J85,SorP!C:C,0))))</f>
        <v>RU-KYA</v>
      </c>
      <c r="U85" s="168"/>
      <c r="V85" s="169">
        <f ca="1">IF(C85="",NA(),MATCH($B85&amp;$C85,'Smelter Look-up'!$J:$J,0))</f>
        <v>113</v>
      </c>
      <c r="X85" s="170">
        <f t="shared" ca="1" si="6"/>
        <v>0</v>
      </c>
      <c r="AB85" s="314" t="str">
        <f t="shared" ca="1" si="8"/>
        <v>Cobalt</v>
      </c>
    </row>
    <row r="86" spans="1:28" s="170" customFormat="1" ht="20.25">
      <c r="A86" s="155"/>
      <c r="B86" s="304" t="s">
        <v>40</v>
      </c>
      <c r="C86" s="152" t="s">
        <v>308</v>
      </c>
      <c r="D86" s="149" t="s">
        <v>20051</v>
      </c>
      <c r="E86" s="149" t="s">
        <v>71</v>
      </c>
      <c r="F86" s="149" t="s">
        <v>20055</v>
      </c>
      <c r="G86" s="149" t="s">
        <v>12</v>
      </c>
      <c r="H86" s="206">
        <f ca="1">IF(ISERROR($V86),"",OFFSET('Smelter Look-up'!$G$4,$V86-4,0))</f>
        <v>0</v>
      </c>
      <c r="I86" s="207" t="s">
        <v>20059</v>
      </c>
      <c r="J86" s="207"/>
      <c r="K86" s="150"/>
      <c r="L86" s="150"/>
      <c r="M86" s="150"/>
      <c r="N86" s="150"/>
      <c r="O86" s="150"/>
      <c r="P86" s="209"/>
      <c r="Q86" s="151"/>
      <c r="R86" s="149" t="str">
        <f ca="1">IF(ISERROR($V86),"",OFFSET('Smelter Look-up'!$C$4,$V86-4,0)&amp;"")</f>
        <v/>
      </c>
      <c r="S86" s="155" t="str">
        <f t="shared" ca="1" si="7"/>
        <v>MA</v>
      </c>
      <c r="T86" s="155" t="str">
        <f ca="1">IF(B86="","",IF(ISERROR(MATCH($J86,SorP!$B$1:$B$6226,0)),"",INDIRECT("'SorP'!$A$"&amp;MATCH($S86&amp;$J86,SorP!C:C,0))))</f>
        <v/>
      </c>
      <c r="U86" s="168"/>
      <c r="V86" s="169">
        <f>IF(C86="",NA(),MATCH($B86&amp;$C86,'Smelter Look-up'!$J:$J,0))</f>
        <v>174</v>
      </c>
      <c r="X86" s="170">
        <f t="shared" si="6"/>
        <v>0</v>
      </c>
      <c r="AB86" s="314" t="str">
        <f t="shared" si="8"/>
        <v>Cobalt</v>
      </c>
    </row>
    <row r="87" spans="1:28" s="170" customFormat="1" ht="20.25">
      <c r="A87" s="155"/>
      <c r="B87" s="304" t="s">
        <v>40</v>
      </c>
      <c r="C87" s="152" t="s">
        <v>308</v>
      </c>
      <c r="D87" s="149" t="s">
        <v>20052</v>
      </c>
      <c r="E87" s="149" t="s">
        <v>1706</v>
      </c>
      <c r="F87" s="149" t="s">
        <v>20056</v>
      </c>
      <c r="G87" s="149" t="s">
        <v>12</v>
      </c>
      <c r="H87" s="206">
        <f ca="1">IF(ISERROR($V87),"",OFFSET('Smelter Look-up'!$G$4,$V87-4,0))</f>
        <v>0</v>
      </c>
      <c r="I87" s="207" t="s">
        <v>20060</v>
      </c>
      <c r="J87" s="207" t="s">
        <v>20061</v>
      </c>
      <c r="K87" s="150"/>
      <c r="L87" s="150"/>
      <c r="M87" s="150"/>
      <c r="N87" s="150"/>
      <c r="O87" s="150"/>
      <c r="P87" s="209"/>
      <c r="Q87" s="151"/>
      <c r="R87" s="149" t="str">
        <f ca="1">IF(ISERROR($V87),"",OFFSET('Smelter Look-up'!$C$4,$V87-4,0)&amp;"")</f>
        <v/>
      </c>
      <c r="S87" s="155" t="str">
        <f t="shared" ca="1" si="7"/>
        <v>ZA</v>
      </c>
      <c r="T87" s="155" t="str">
        <f ca="1">IF(B87="","",IF(ISERROR(MATCH($J87,SorP!$B$1:$B$6226,0)),"",INDIRECT("'SorP'!$A$"&amp;MATCH($S87&amp;$J87,SorP!C:C,0))))</f>
        <v/>
      </c>
      <c r="U87" s="168"/>
      <c r="V87" s="169">
        <f>IF(C87="",NA(),MATCH($B87&amp;$C87,'Smelter Look-up'!$J:$J,0))</f>
        <v>174</v>
      </c>
      <c r="X87" s="170">
        <f t="shared" si="6"/>
        <v>0</v>
      </c>
      <c r="AB87" s="314" t="str">
        <f t="shared" si="8"/>
        <v>Cobalt</v>
      </c>
    </row>
    <row r="88" spans="1:28" s="170" customFormat="1" ht="20.25">
      <c r="A88" s="155"/>
      <c r="B88" s="304" t="s">
        <v>40</v>
      </c>
      <c r="C88" s="152" t="s">
        <v>308</v>
      </c>
      <c r="D88" s="149" t="s">
        <v>20053</v>
      </c>
      <c r="E88" s="149" t="s">
        <v>101</v>
      </c>
      <c r="F88" s="149" t="s">
        <v>20057</v>
      </c>
      <c r="G88" s="149" t="s">
        <v>12</v>
      </c>
      <c r="H88" s="206">
        <f ca="1">IF(ISERROR($V88),"",OFFSET('Smelter Look-up'!$G$4,$V88-4,0))</f>
        <v>0</v>
      </c>
      <c r="I88" s="207" t="s">
        <v>103</v>
      </c>
      <c r="J88" s="207"/>
      <c r="K88" s="150"/>
      <c r="L88" s="150"/>
      <c r="M88" s="150"/>
      <c r="N88" s="150"/>
      <c r="O88" s="150"/>
      <c r="P88" s="209"/>
      <c r="Q88" s="151"/>
      <c r="R88" s="149" t="str">
        <f ca="1">IF(ISERROR($V88),"",OFFSET('Smelter Look-up'!$C$4,$V88-4,0)&amp;"")</f>
        <v/>
      </c>
      <c r="S88" s="155" t="str">
        <f t="shared" ca="1" si="7"/>
        <v>FI</v>
      </c>
      <c r="T88" s="155" t="str">
        <f ca="1">IF(B88="","",IF(ISERROR(MATCH($J88,SorP!$B$1:$B$6226,0)),"",INDIRECT("'SorP'!$A$"&amp;MATCH($S88&amp;$J88,SorP!C:C,0))))</f>
        <v/>
      </c>
      <c r="U88" s="168"/>
      <c r="V88" s="169">
        <f>IF(C88="",NA(),MATCH($B88&amp;$C88,'Smelter Look-up'!$J:$J,0))</f>
        <v>174</v>
      </c>
      <c r="X88" s="170">
        <f t="shared" si="6"/>
        <v>0</v>
      </c>
      <c r="AB88" s="314" t="str">
        <f t="shared" si="8"/>
        <v>Cobalt</v>
      </c>
    </row>
    <row r="89" spans="1:28" s="170" customFormat="1" ht="25.5">
      <c r="A89" s="155"/>
      <c r="B89" s="304" t="s">
        <v>40</v>
      </c>
      <c r="C89" s="152" t="s">
        <v>308</v>
      </c>
      <c r="D89" s="149" t="s">
        <v>20054</v>
      </c>
      <c r="E89" s="149" t="s">
        <v>65</v>
      </c>
      <c r="F89" s="149" t="s">
        <v>20058</v>
      </c>
      <c r="G89" s="149" t="s">
        <v>12</v>
      </c>
      <c r="H89" s="206">
        <f ca="1">IF(ISERROR($V89),"",OFFSET('Smelter Look-up'!$G$4,$V89-4,0))</f>
        <v>0</v>
      </c>
      <c r="I89" s="207" t="s">
        <v>20062</v>
      </c>
      <c r="J89" s="207" t="s">
        <v>20063</v>
      </c>
      <c r="K89" s="150"/>
      <c r="L89" s="150"/>
      <c r="M89" s="150"/>
      <c r="N89" s="150"/>
      <c r="O89" s="150"/>
      <c r="P89" s="209"/>
      <c r="Q89" s="151"/>
      <c r="R89" s="149" t="str">
        <f ca="1">IF(ISERROR($V89),"",OFFSET('Smelter Look-up'!$C$4,$V89-4,0)&amp;"")</f>
        <v/>
      </c>
      <c r="S89" s="155" t="str">
        <f t="shared" ca="1" si="7"/>
        <v>CN</v>
      </c>
      <c r="T89" s="155" t="str">
        <f ca="1">IF(B89="","",IF(ISERROR(MATCH($J89,SorP!$B$1:$B$6226,0)),"",INDIRECT("'SorP'!$A$"&amp;MATCH($S89&amp;$J89,SorP!C:C,0))))</f>
        <v/>
      </c>
      <c r="U89" s="168"/>
      <c r="V89" s="169">
        <f>IF(C89="",NA(),MATCH($B89&amp;$C89,'Smelter Look-up'!$J:$J,0))</f>
        <v>174</v>
      </c>
      <c r="X89" s="170">
        <f t="shared" si="6"/>
        <v>0</v>
      </c>
      <c r="AB89" s="314" t="str">
        <f t="shared" si="8"/>
        <v>Cobalt</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Robert Bosch, LLC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6" t="str">
        <f>Declaration!D19</f>
        <v>Conflict Minerals Team</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customer.conflictminerals@us.bosch.com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734-979-3150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Customer Conflict Minerals Team</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customer.conflictminerals@us.bosch.com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45782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
      </c>
      <c r="B18" s="79">
        <f>Declaration!D31</f>
        <v>0</v>
      </c>
      <c r="C18" s="79" t="str">
        <f t="shared" ca="1" si="3"/>
        <v>Complete</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75%</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t="str">
        <f>Declaration!G117</f>
        <v>https://www.bosch.us/terms-of-use/terms-of-use/notices/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
      </c>
      <c r="B115" s="79"/>
      <c r="C115" s="136" t="str">
        <f t="shared" ca="1" si="49"/>
        <v>Complete</v>
      </c>
      <c r="D115" s="379" t="str">
        <f ca="1">IF(H115=0,"","Click here to provide smelter information")</f>
        <v/>
      </c>
      <c r="E115" s="16"/>
      <c r="F115" s="84">
        <f>F40</f>
        <v>0</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1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89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89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89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89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89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89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89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89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Kennedy Karen (M/ETC3-NA)</cp:lastModifiedBy>
  <cp:revision/>
  <dcterms:created xsi:type="dcterms:W3CDTF">2010-06-21T21:00:23Z</dcterms:created>
  <dcterms:modified xsi:type="dcterms:W3CDTF">2025-05-07T13:23:47Z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